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sevaniafr.sharepoint.com/sites/commun/Documents partages/Commun/Cabaret/Subventions/Suvention CCPM/"/>
    </mc:Choice>
  </mc:AlternateContent>
  <xr:revisionPtr revIDLastSave="199" documentId="8_{3123A3C3-2634-0744-81E3-FCA3CFD1779D}" xr6:coauthVersionLast="47" xr6:coauthVersionMax="47" xr10:uidLastSave="{67E4604E-D831-412C-9A9B-F03DA6090309}"/>
  <bookViews>
    <workbookView xWindow="-108" yWindow="492" windowWidth="23256" windowHeight="12576" xr2:uid="{00000000-000D-0000-FFFF-FFFF00000000}"/>
  </bookViews>
  <sheets>
    <sheet name="BUDGET SUBV - PREV EQUILIBR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1" l="1"/>
  <c r="G94" i="1"/>
  <c r="G93" i="1"/>
  <c r="G92" i="1"/>
  <c r="E86" i="1"/>
  <c r="J86" i="1" s="1"/>
  <c r="E93" i="1"/>
  <c r="J94" i="1" s="1"/>
  <c r="J93" i="1"/>
  <c r="J92" i="1"/>
  <c r="J91" i="1"/>
  <c r="J35" i="1"/>
  <c r="E95" i="1"/>
  <c r="E87" i="1"/>
  <c r="J87" i="1" s="1"/>
  <c r="E89" i="1" l="1"/>
  <c r="J95" i="1"/>
  <c r="J89" i="1"/>
  <c r="E29" i="1" l="1"/>
  <c r="E31" i="1"/>
  <c r="E32" i="1"/>
  <c r="E30" i="1"/>
  <c r="E33" i="1"/>
  <c r="E28" i="1"/>
  <c r="E27" i="1"/>
  <c r="J38" i="1"/>
  <c r="E69" i="1"/>
  <c r="E17" i="1"/>
  <c r="D5" i="1"/>
  <c r="D6" i="1"/>
  <c r="D4" i="1"/>
  <c r="E36" i="1"/>
  <c r="E37" i="1"/>
  <c r="E38" i="1"/>
  <c r="E42" i="1"/>
  <c r="E39" i="1" s="1"/>
  <c r="E52" i="1"/>
  <c r="E55" i="1"/>
  <c r="E58" i="1" s="1"/>
  <c r="E63" i="1"/>
  <c r="E64" i="1" s="1"/>
  <c r="E78" i="1"/>
  <c r="E18" i="1"/>
  <c r="E19" i="1"/>
  <c r="E20" i="1"/>
  <c r="E21" i="1"/>
  <c r="E22" i="1"/>
  <c r="J22" i="1"/>
  <c r="J30" i="1"/>
  <c r="J31" i="1" s="1"/>
  <c r="J44" i="1"/>
  <c r="E43" i="1"/>
  <c r="E23" i="1" l="1"/>
  <c r="E34" i="1"/>
  <c r="J81" i="1"/>
  <c r="E26" i="1"/>
  <c r="E44" i="1" s="1"/>
  <c r="E81" i="1" s="1"/>
  <c r="J98" i="1" l="1"/>
  <c r="J6" i="1"/>
  <c r="J4" i="1"/>
  <c r="J8" i="1" s="1"/>
  <c r="E98" i="1"/>
</calcChain>
</file>

<file path=xl/sharedStrings.xml><?xml version="1.0" encoding="utf-8"?>
<sst xmlns="http://schemas.openxmlformats.org/spreadsheetml/2006/main" count="151" uniqueCount="96">
  <si>
    <t>Créez un budget mensuel personnel dans ce classeur. Des instructions utiles sur l’utilisation de cette feuille de calcul sont disponibles dans les cellules de cette colonne. Appuyez sur la flèche Bas pour commencer.</t>
  </si>
  <si>
    <t>Le titre de cette feuille de calcul se trouve dans la cellule de droite. L’instruction suivante figure dans la cellule A4.</t>
  </si>
  <si>
    <t>BUDGET PREVISIONNEL</t>
  </si>
  <si>
    <t>L’étiquette Revenus mensuels prévus se trouve dans la cellule de droite. Entrez le revenu 1 dans la cellule E4 et le revenu supplémentaire dans la cellule E5 pour calculer le total des revenus mensuels dans la cellule E6. L’instruction suivante figure dans la cellule A6.</t>
  </si>
  <si>
    <t>DEPENSES S - 1
(Dépenses des spectacles précédents)</t>
  </si>
  <si>
    <t>DEPENSES PREVUES
(Somme des dépenses prévues)</t>
  </si>
  <si>
    <t>Le solde prévu est automatiquement calculé dans la cellule J4, le solde réel dans la cellule J6 et la différence dans la cellule J8. L’instruction suivante figure dans la cellule A8.</t>
  </si>
  <si>
    <t>RECETTES PREVUES 
(Somme des recettes prévues)</t>
  </si>
  <si>
    <t>L’étiquette Revenus mensuels réels se trouve dans la cellule de droite. Entrez le revenu 1 dans la cellule E8 et le revenu supplémentaire dans la cellule E9 pour calculer le revenu mensuel total dans la cellule E10. L’instruction suivante figure dans la cellule A12.</t>
  </si>
  <si>
    <t>RECETTES S - 1
(Recettes des spectacles précédents)</t>
  </si>
  <si>
    <t>EQUILIBRE 
(Recettes prévues moins les dépenses prévues)</t>
  </si>
  <si>
    <t>Renseignez la table Logement à partir de la cellule de droite et la table Loisirs à partir de la cellule G12. L’instruction suivante figure dans la cellule A25.</t>
  </si>
  <si>
    <t>TECHNIQUE</t>
  </si>
  <si>
    <t xml:space="preserve">  </t>
  </si>
  <si>
    <t xml:space="preserve"> </t>
  </si>
  <si>
    <t>Dépenses</t>
  </si>
  <si>
    <t>SUBVENTIONS &amp; AIDES</t>
  </si>
  <si>
    <t xml:space="preserve">    </t>
  </si>
  <si>
    <t>Recettes</t>
  </si>
  <si>
    <t>Matériel son</t>
  </si>
  <si>
    <t>Matériel Lumière + Structure</t>
  </si>
  <si>
    <t>Subvention de la ville du Russey</t>
  </si>
  <si>
    <t>RH</t>
  </si>
  <si>
    <t>Subvention de la ville de Morteau</t>
  </si>
  <si>
    <t>Subvention CCPM</t>
  </si>
  <si>
    <t>Subvention CCPR</t>
  </si>
  <si>
    <t>Subvention CCVM</t>
  </si>
  <si>
    <t>Subvention Département Doubs</t>
  </si>
  <si>
    <t>Subvention Région Bourgogne Franche-Comté / DRAC</t>
  </si>
  <si>
    <t>Aide SACEM</t>
  </si>
  <si>
    <t>Sous-total</t>
  </si>
  <si>
    <t>PARTENARIATS</t>
  </si>
  <si>
    <t>Renseignez la table Transport à partir de la cellule de droite et la table Emprunts à partir de la cellule G24. L’instruction suivante figure dans la cellule A35.</t>
  </si>
  <si>
    <t>COMMUNICATION</t>
  </si>
  <si>
    <t>PRINT</t>
  </si>
  <si>
    <t>Affiches A3 - 500</t>
  </si>
  <si>
    <t>Affiches A0 - 20</t>
  </si>
  <si>
    <t xml:space="preserve">Mécénat </t>
  </si>
  <si>
    <t>Flyers A6 - 2000</t>
  </si>
  <si>
    <t>Dons particuliers - cagnotte</t>
  </si>
  <si>
    <t>Sets de tables A3 - 1500</t>
  </si>
  <si>
    <t>Aquilux B1 - 20</t>
  </si>
  <si>
    <t>Bâches 3x1m - 3</t>
  </si>
  <si>
    <t>Programme du spectacle - 500</t>
  </si>
  <si>
    <t>BILLETTERIE</t>
  </si>
  <si>
    <t>DIGITAL</t>
  </si>
  <si>
    <t>Boost Facebook / Instagram</t>
  </si>
  <si>
    <t>Vente de billets - Pass Culture</t>
  </si>
  <si>
    <t>PRESSE</t>
  </si>
  <si>
    <t>Presse journaux</t>
  </si>
  <si>
    <t>BAR</t>
  </si>
  <si>
    <t>Presse radio</t>
  </si>
  <si>
    <t>Renseignez la table Assurance à partir de la cellule de droite et la table Impôts à partir de la cellule G33. L’instruction suivante figure dans la cellule A42.</t>
  </si>
  <si>
    <t>ARTISTIQUE</t>
  </si>
  <si>
    <t>Achat de costumes</t>
  </si>
  <si>
    <t>DEPENSES TOTALES</t>
  </si>
  <si>
    <t xml:space="preserve">Achat d'accessoires </t>
  </si>
  <si>
    <t>Achat de Bandes Son</t>
  </si>
  <si>
    <t>RECETTES TOTALES</t>
  </si>
  <si>
    <t>Impression photos déco</t>
  </si>
  <si>
    <t>Renseignez la table Alimentation à partir de la cellule de droite et la table Épargne à partir de la cellule G40. L’instruction suivante figure dans la cellule A48.</t>
  </si>
  <si>
    <t>TAXES</t>
  </si>
  <si>
    <t>Assurance</t>
  </si>
  <si>
    <t>SACEM</t>
  </si>
  <si>
    <t>Frais Bancaires</t>
  </si>
  <si>
    <t>Renseignez la table Animaux à partir de la cellule de droite et la table Cadeaux à partir de la cellule G46. L’instruction suivante figure dans la cellule A56.</t>
  </si>
  <si>
    <t>Restauration</t>
  </si>
  <si>
    <t>Boissons</t>
  </si>
  <si>
    <t>Autre</t>
  </si>
  <si>
    <t>Renseignez la table Soins personnels à partir de la cellule de droite et la table Juridique à partir de la cellule G52. L’instruction suivante figure dans la cellule A59.</t>
  </si>
  <si>
    <t>LOGISTIQUE</t>
  </si>
  <si>
    <t>Location salle des fêtes - Maîche</t>
  </si>
  <si>
    <t>Location salle des fêtes - Le Russey</t>
  </si>
  <si>
    <t>Location salle des fêtes - Morteau</t>
  </si>
  <si>
    <t>Location salles de répétitions (Mouv'Body Maîche)</t>
  </si>
  <si>
    <t>Location de véhicule + Frais Kilométrique</t>
  </si>
  <si>
    <t>Location de tables</t>
  </si>
  <si>
    <t>Location vaisselle</t>
  </si>
  <si>
    <t>Location nappe et housses</t>
  </si>
  <si>
    <t>Sponsors sur la CCPM</t>
  </si>
  <si>
    <t>Sponsors sur la CCPR</t>
  </si>
  <si>
    <t>Sponsors sur la CCVM</t>
  </si>
  <si>
    <t>VALORISATION DE BENEVOLAT</t>
  </si>
  <si>
    <t>Equivalent</t>
  </si>
  <si>
    <t>Bénévoles artistes</t>
  </si>
  <si>
    <t>Bénévoles logistiques, organisation</t>
  </si>
  <si>
    <t>Mise à disposition</t>
  </si>
  <si>
    <t>Mise à disposition SDF Maîche entres représentations</t>
  </si>
  <si>
    <t>DEPENSES TOTALES AVEC VALORISATIONS</t>
  </si>
  <si>
    <t>RECETTES TOTALES AVEC VALORISATIONS</t>
  </si>
  <si>
    <t>Mise à disposition SDF Charquemont</t>
  </si>
  <si>
    <t>Mise à disposition Salle de répétition Charquemont</t>
  </si>
  <si>
    <t>Bar &amp; petite restauration</t>
  </si>
  <si>
    <t>Mise à disposition de matériels techniques, RH, etc.</t>
  </si>
  <si>
    <t xml:space="preserve">Vente de billets - Helloasso </t>
  </si>
  <si>
    <t>Captation vidéo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</si>
</sst>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8" formatCode="#,##0.00\ &quot;€&quot;;[Red]\-#,##0.00\ &quot;€&quot;"/>
    <numFmt numFmtId="42" formatCode="_-* #,##0\ &quot;€&quot;_-;\-* #,##0\ &quot;€&quot;_-;_-* &quot;-&quot;\ &quot;€&quot;_-;_-@_-"/>
    <numFmt numFmtId="44" formatCode="_-* #,##0.00\ &quot;€&quot;_-;\-* #,##0.00\ &quot;€&quot;_-;_-* &quot;-&quot;??\ &quot;€&quot;_-;_-@_-"/>
    <numFmt numFmtId="164" formatCode="#,##0.00\ &quot;€&quot;_);[Red]\(#,##0.00\ &quot;€&quot;\)"/>
    <numFmt numFmtId="165" formatCode="_(* #,##0_);_(* \(#,##0\);_(* &quot;-&quot;_);_(@_)"/>
    <numFmt numFmtId="166" formatCode="_(* #,##0.00_);_(* \(#,##0.00\);_(* &quot;-&quot;??_);_(@_)"/>
    <numFmt numFmtId="167" formatCode="#,##0.00\ &quot;€&quot;"/>
    <numFmt numFmtId="168" formatCode="&quot;$&quot;#,##0.00"/>
    <numFmt numFmtId="169" formatCode="#,##0.00\ &quot;€&quot;;[Red]#,##0.00\ &quot;€&quot;"/>
    <numFmt numFmtId="170" formatCode="_-* #,##0.00\ [$€-40C]_-;\-* #,##0.00\ [$€-40C]_-;_-* &quot;-&quot;??\ [$€-40C]_-;_-@_-"/>
  </numFmts>
  <fonts count="26" x14ac:knownFonts="1">
    <font>
      <sz val="10"/>
      <color theme="1" tint="0.24994659260841701"/>
      <name val="Calibri"/>
      <family val="2"/>
      <scheme val="minor"/>
    </font>
    <font>
      <sz val="11"/>
      <color theme="1"/>
      <name val="Calibri"/>
      <family val="2"/>
      <scheme val="minor"/>
    </font>
    <font>
      <sz val="11"/>
      <color theme="1"/>
      <name val="Calibri"/>
      <family val="2"/>
      <scheme val="minor"/>
    </font>
    <font>
      <sz val="10"/>
      <color theme="1" tint="0.24994659260841701"/>
      <name val="Century Gothic"/>
      <family val="2"/>
      <scheme val="major"/>
    </font>
    <font>
      <b/>
      <sz val="10"/>
      <color theme="1" tint="0.24994659260841701"/>
      <name val="Century Gothic"/>
      <family val="2"/>
      <scheme val="major"/>
    </font>
    <font>
      <sz val="22"/>
      <color theme="3" tint="0.24994659260841701"/>
      <name val="Century Gothic"/>
      <family val="2"/>
      <scheme val="major"/>
    </font>
    <font>
      <sz val="11"/>
      <color theme="0"/>
      <name val="Calibri"/>
      <family val="2"/>
      <scheme val="minor"/>
    </font>
    <font>
      <sz val="10"/>
      <color theme="0"/>
      <name val="Calibri"/>
      <family val="2"/>
      <scheme val="minor"/>
    </font>
    <font>
      <sz val="10"/>
      <color theme="1" tint="0.24994659260841701"/>
      <name val="Calibri"/>
      <family val="2"/>
      <scheme val="minor"/>
    </font>
    <font>
      <sz val="18"/>
      <color theme="3"/>
      <name val="Century Gothic"/>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b/>
      <sz val="10"/>
      <color theme="1" tint="0.24994659260841701"/>
      <name val="Calibri"/>
      <family val="2"/>
      <scheme val="minor"/>
    </font>
    <font>
      <sz val="6"/>
      <name val="Yu Gothic"/>
      <family val="2"/>
      <charset val="128"/>
    </font>
    <font>
      <b/>
      <sz val="10"/>
      <color rgb="FF404040"/>
      <name val="Century Gothic"/>
      <family val="2"/>
    </font>
    <font>
      <sz val="10"/>
      <color theme="7" tint="-0.249977111117893"/>
      <name val="Century Gothic"/>
      <family val="2"/>
      <scheme val="major"/>
    </font>
  </fonts>
  <fills count="36">
    <fill>
      <patternFill patternType="none"/>
    </fill>
    <fill>
      <patternFill patternType="gray125"/>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B4C7"/>
        <bgColor indexed="64"/>
      </patternFill>
    </fill>
    <fill>
      <patternFill patternType="solid">
        <fgColor rgb="FFD9D9D9"/>
        <bgColor rgb="FF000000"/>
      </patternFill>
    </fill>
  </fills>
  <borders count="2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24994659260841701"/>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style="thin">
        <color rgb="FFA6A6A6"/>
      </right>
      <top style="thin">
        <color rgb="FFA6A6A6"/>
      </top>
      <bottom/>
      <diagonal/>
    </border>
    <border>
      <left style="thin">
        <color rgb="FFA6A6A6"/>
      </left>
      <right style="thin">
        <color rgb="FFA6A6A6"/>
      </right>
      <top/>
      <bottom style="thin">
        <color rgb="FFA6A6A6"/>
      </bottom>
      <diagonal/>
    </border>
  </borders>
  <cellStyleXfs count="47">
    <xf numFmtId="0" fontId="0" fillId="0" borderId="0"/>
    <xf numFmtId="0" fontId="5" fillId="0" borderId="7" applyNumberFormat="0" applyFill="0" applyAlignment="0" applyProtection="0"/>
    <xf numFmtId="0" fontId="3" fillId="0" borderId="8" applyNumberFormat="0" applyFill="0" applyBorder="0" applyAlignment="0" applyProtection="0"/>
    <xf numFmtId="0" fontId="4" fillId="0" borderId="9" applyNumberForma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44" fontId="8" fillId="0" borderId="0" applyFont="0" applyFill="0" applyBorder="0" applyAlignment="0" applyProtection="0"/>
    <xf numFmtId="42" fontId="8" fillId="0" borderId="0" applyFont="0" applyFill="0" applyBorder="0" applyAlignment="0" applyProtection="0"/>
    <xf numFmtId="9" fontId="8"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10" applyNumberFormat="0" applyAlignment="0" applyProtection="0"/>
    <xf numFmtId="0" fontId="15" fillId="7" borderId="11" applyNumberFormat="0" applyAlignment="0" applyProtection="0"/>
    <xf numFmtId="0" fontId="16" fillId="7" borderId="10" applyNumberFormat="0" applyAlignment="0" applyProtection="0"/>
    <xf numFmtId="0" fontId="17" fillId="0" borderId="12" applyNumberFormat="0" applyFill="0" applyAlignment="0" applyProtection="0"/>
    <xf numFmtId="0" fontId="18" fillId="8" borderId="13" applyNumberFormat="0" applyAlignment="0" applyProtection="0"/>
    <xf numFmtId="0" fontId="19" fillId="0" borderId="0" applyNumberFormat="0" applyFill="0" applyBorder="0" applyAlignment="0" applyProtection="0"/>
    <xf numFmtId="0" fontId="8" fillId="9" borderId="14" applyNumberFormat="0" applyFont="0" applyAlignment="0" applyProtection="0"/>
    <xf numFmtId="0" fontId="20" fillId="0" borderId="0" applyNumberFormat="0" applyFill="0" applyBorder="0" applyAlignment="0" applyProtection="0"/>
    <xf numFmtId="0" fontId="21" fillId="0" borderId="15" applyNumberFormat="0" applyFill="0" applyAlignment="0" applyProtection="0"/>
    <xf numFmtId="0" fontId="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3">
    <xf numFmtId="0" fontId="0" fillId="0" borderId="0" xfId="0"/>
    <xf numFmtId="0" fontId="5" fillId="0" borderId="7" xfId="1"/>
    <xf numFmtId="0" fontId="2" fillId="0" borderId="0" xfId="0" applyFont="1"/>
    <xf numFmtId="0" fontId="3" fillId="0" borderId="0" xfId="0" applyFont="1"/>
    <xf numFmtId="0" fontId="6" fillId="0" borderId="0" xfId="0" applyFont="1"/>
    <xf numFmtId="0" fontId="7" fillId="0" borderId="0" xfId="0" applyFont="1"/>
    <xf numFmtId="167" fontId="0" fillId="0" borderId="0" xfId="0" applyNumberFormat="1"/>
    <xf numFmtId="8" fontId="3" fillId="0" borderId="2" xfId="0" applyNumberFormat="1" applyFont="1" applyBorder="1"/>
    <xf numFmtId="8" fontId="3" fillId="0" borderId="3" xfId="0" applyNumberFormat="1" applyFont="1" applyBorder="1"/>
    <xf numFmtId="8" fontId="4" fillId="2" borderId="4" xfId="0" applyNumberFormat="1" applyFont="1" applyFill="1" applyBorder="1"/>
    <xf numFmtId="0" fontId="0" fillId="0" borderId="0" xfId="0" applyAlignment="1">
      <alignment horizontal="center"/>
    </xf>
    <xf numFmtId="168" fontId="0" fillId="0" borderId="0" xfId="0" applyNumberFormat="1"/>
    <xf numFmtId="0" fontId="22" fillId="34" borderId="0" xfId="0" applyFont="1" applyFill="1"/>
    <xf numFmtId="168" fontId="22" fillId="34" borderId="0" xfId="0" applyNumberFormat="1" applyFont="1" applyFill="1"/>
    <xf numFmtId="167" fontId="0" fillId="34" borderId="0" xfId="0" applyNumberFormat="1" applyFill="1"/>
    <xf numFmtId="0" fontId="3" fillId="0" borderId="5" xfId="2" applyBorder="1" applyAlignment="1">
      <alignment vertical="center"/>
    </xf>
    <xf numFmtId="0" fontId="3" fillId="0" borderId="6" xfId="2" applyBorder="1" applyAlignment="1">
      <alignment vertical="center"/>
    </xf>
    <xf numFmtId="167" fontId="25" fillId="0" borderId="6" xfId="2" applyNumberFormat="1" applyFont="1" applyBorder="1" applyAlignment="1">
      <alignment vertical="center"/>
    </xf>
    <xf numFmtId="0" fontId="1" fillId="0" borderId="0" xfId="0" applyFont="1"/>
    <xf numFmtId="169" fontId="0" fillId="0" borderId="0" xfId="0" applyNumberFormat="1"/>
    <xf numFmtId="170" fontId="0" fillId="0" borderId="0" xfId="0" applyNumberFormat="1"/>
    <xf numFmtId="0" fontId="24" fillId="0" borderId="16" xfId="0" applyFont="1" applyBorder="1" applyAlignment="1">
      <alignment wrapText="1"/>
    </xf>
    <xf numFmtId="164" fontId="24" fillId="35" borderId="22" xfId="0" applyNumberFormat="1" applyFont="1" applyFill="1" applyBorder="1" applyAlignment="1">
      <alignment wrapText="1"/>
    </xf>
    <xf numFmtId="0" fontId="24" fillId="0" borderId="17" xfId="0" applyFont="1" applyBorder="1" applyAlignment="1">
      <alignment wrapText="1"/>
    </xf>
    <xf numFmtId="0" fontId="24" fillId="0" borderId="18" xfId="0" applyFont="1" applyBorder="1" applyAlignment="1">
      <alignment wrapText="1"/>
    </xf>
    <xf numFmtId="0" fontId="24" fillId="0" borderId="19" xfId="0" applyFont="1" applyBorder="1" applyAlignment="1">
      <alignment wrapText="1"/>
    </xf>
    <xf numFmtId="0" fontId="24" fillId="0" borderId="20" xfId="0" applyFont="1" applyBorder="1" applyAlignment="1">
      <alignment wrapText="1"/>
    </xf>
    <xf numFmtId="0" fontId="24" fillId="0" borderId="21" xfId="0" applyFont="1" applyBorder="1" applyAlignment="1">
      <alignment wrapText="1"/>
    </xf>
    <xf numFmtId="0" fontId="24" fillId="35" borderId="23" xfId="0" applyFont="1" applyFill="1" applyBorder="1" applyAlignment="1">
      <alignment wrapText="1"/>
    </xf>
    <xf numFmtId="0" fontId="0" fillId="0" borderId="0" xfId="0" applyAlignment="1">
      <alignment horizontal="center"/>
    </xf>
    <xf numFmtId="8" fontId="4" fillId="2" borderId="1" xfId="0" applyNumberFormat="1" applyFont="1" applyFill="1" applyBorder="1" applyAlignment="1">
      <alignment vertical="center"/>
    </xf>
    <xf numFmtId="0" fontId="3" fillId="0" borderId="2" xfId="2" applyBorder="1" applyAlignment="1">
      <alignment vertical="center" wrapText="1"/>
    </xf>
    <xf numFmtId="0" fontId="3" fillId="0" borderId="1" xfId="2" applyBorder="1" applyAlignment="1">
      <alignment horizontal="left" vertical="center" wrapText="1"/>
    </xf>
  </cellXfs>
  <cellStyles count="47">
    <cellStyle name="20 % - Accent1" xfId="24" builtinId="30" customBuiltin="1"/>
    <cellStyle name="20 % - Accent2" xfId="28" builtinId="34" customBuiltin="1"/>
    <cellStyle name="20 % - Accent3" xfId="32" builtinId="38" customBuiltin="1"/>
    <cellStyle name="20 % - Accent4" xfId="36" builtinId="42" customBuiltin="1"/>
    <cellStyle name="20 % - Accent5" xfId="40" builtinId="46" customBuiltin="1"/>
    <cellStyle name="20 % - Accent6" xfId="44" builtinId="50" customBuiltin="1"/>
    <cellStyle name="40 % - Accent1" xfId="25" builtinId="31" customBuiltin="1"/>
    <cellStyle name="40 % - Accent2" xfId="29" builtinId="35" customBuiltin="1"/>
    <cellStyle name="40 % - Accent3" xfId="33" builtinId="39" customBuiltin="1"/>
    <cellStyle name="40 % - Accent4" xfId="37" builtinId="43" customBuiltin="1"/>
    <cellStyle name="40 % - Accent5" xfId="41" builtinId="47" customBuiltin="1"/>
    <cellStyle name="40 % - Accent6" xfId="45" builtinId="51" customBuiltin="1"/>
    <cellStyle name="60 % - Accent1" xfId="26" builtinId="32" customBuiltin="1"/>
    <cellStyle name="60 % - Accent2" xfId="30" builtinId="36" customBuiltin="1"/>
    <cellStyle name="60 % - Accent3" xfId="34" builtinId="40" customBuiltin="1"/>
    <cellStyle name="60 % - Accent4" xfId="38" builtinId="44" customBuiltin="1"/>
    <cellStyle name="60 % - Accent5" xfId="42" builtinId="48" customBuiltin="1"/>
    <cellStyle name="60 %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Avertissement" xfId="19" builtinId="11" customBuiltin="1"/>
    <cellStyle name="Calcul" xfId="16" builtinId="22" customBuiltin="1"/>
    <cellStyle name="Cellule liée" xfId="17" builtinId="24" customBuiltin="1"/>
    <cellStyle name="Entrée" xfId="14" builtinId="20" customBuiltin="1"/>
    <cellStyle name="Insatisfaisant" xfId="12" builtinId="27" customBuiltin="1"/>
    <cellStyle name="Milliers" xfId="4" builtinId="3" customBuiltin="1"/>
    <cellStyle name="Milliers [0]" xfId="5" builtinId="6" customBuiltin="1"/>
    <cellStyle name="Monétaire" xfId="6" builtinId="4" customBuiltin="1"/>
    <cellStyle name="Monétaire [0]" xfId="7" builtinId="7" customBuiltin="1"/>
    <cellStyle name="Neutre" xfId="13" builtinId="28" customBuiltin="1"/>
    <cellStyle name="Normal" xfId="0" builtinId="0" customBuiltin="1"/>
    <cellStyle name="Note" xfId="20" builtinId="10" customBuiltin="1"/>
    <cellStyle name="Pourcentage" xfId="8" builtinId="5" customBuiltin="1"/>
    <cellStyle name="Satisfaisant" xfId="11" builtinId="26" customBuiltin="1"/>
    <cellStyle name="Sortie" xfId="15" builtinId="21" customBuiltin="1"/>
    <cellStyle name="Texte explicatif" xfId="21" builtinId="53" customBuiltin="1"/>
    <cellStyle name="Titre" xfId="9" builtinId="15" customBuiltin="1"/>
    <cellStyle name="Titre 1" xfId="1" builtinId="16" customBuiltin="1"/>
    <cellStyle name="Titre 2" xfId="2" builtinId="17" customBuiltin="1"/>
    <cellStyle name="Titre 3" xfId="3" builtinId="18" customBuiltin="1"/>
    <cellStyle name="Titre 4" xfId="10" builtinId="19" customBuiltin="1"/>
    <cellStyle name="Total" xfId="22" builtinId="25" customBuiltin="1"/>
    <cellStyle name="Vérification" xfId="18" builtinId="23" customBuiltin="1"/>
  </cellStyles>
  <dxfs count="94">
    <dxf>
      <numFmt numFmtId="167" formatCode="#,##0.00\ &quot;€&quot;"/>
    </dxf>
    <dxf>
      <numFmt numFmtId="167" formatCode="#,##0.00\ &quot;€&quot;"/>
    </dxf>
    <dxf>
      <numFmt numFmtId="167" formatCode="#,##0.00\ &quot;€&quot;"/>
    </dxf>
    <dxf>
      <numFmt numFmtId="168" formatCode="&quot;$&quot;#,##0.00"/>
    </dxf>
    <dxf>
      <numFmt numFmtId="167" formatCode="#,##0.00\ &quot;€&quot;"/>
    </dxf>
    <dxf>
      <numFmt numFmtId="168" formatCode="&quot;$&quot;#,##0.00"/>
    </dxf>
    <dxf>
      <numFmt numFmtId="167" formatCode="#,##0.00\ &quot;€&quot;"/>
    </dxf>
    <dxf>
      <numFmt numFmtId="167" formatCode="#,##0.00\ &quot;€&quot;"/>
    </dxf>
    <dxf>
      <numFmt numFmtId="167" formatCode="#,##0.00\ &quot;€&quot;"/>
    </dxf>
    <dxf>
      <numFmt numFmtId="168" formatCode="&quot;$&quot;#,##0.00"/>
    </dxf>
    <dxf>
      <numFmt numFmtId="167" formatCode="#,##0.00\ &quot;€&quot;"/>
    </dxf>
    <dxf>
      <numFmt numFmtId="168" formatCode="&quot;$&quot;#,##0.00"/>
    </dxf>
    <dxf>
      <numFmt numFmtId="167" formatCode="#,##0.00\ &quot;€&quot;"/>
    </dxf>
    <dxf>
      <numFmt numFmtId="168" formatCode="&quot;$&quot;#,##0.00"/>
    </dxf>
    <dxf>
      <numFmt numFmtId="167" formatCode="#,##0.00\ &quot;€&quot;"/>
    </dxf>
    <dxf>
      <numFmt numFmtId="168" formatCode="&quot;$&quot;#,##0.00"/>
    </dxf>
    <dxf>
      <numFmt numFmtId="167" formatCode="#,##0.00\ &quot;€&quot;"/>
    </dxf>
    <dxf>
      <numFmt numFmtId="168" formatCode="&quot;$&quot;#,##0.00"/>
    </dxf>
    <dxf>
      <numFmt numFmtId="167" formatCode="#,##0.00\ &quot;€&quot;"/>
    </dxf>
    <dxf>
      <numFmt numFmtId="167" formatCode="#,##0.00\ &quot;€&quot;"/>
    </dxf>
    <dxf>
      <numFmt numFmtId="167" formatCode="#,##0.00\ &quot;€&quot;"/>
    </dxf>
    <dxf>
      <numFmt numFmtId="168" formatCode="&quot;$&quot;#,##0.00"/>
    </dxf>
    <dxf>
      <numFmt numFmtId="167" formatCode="#,##0.00\ &quot;€&quot;"/>
    </dxf>
    <dxf>
      <numFmt numFmtId="168" formatCode="&quot;$&quot;#,##0.00"/>
    </dxf>
    <dxf>
      <numFmt numFmtId="167" formatCode="#,##0.00\ &quot;€&quot;"/>
    </dxf>
    <dxf>
      <numFmt numFmtId="168" formatCode="&quot;$&quot;#,##0.00"/>
    </dxf>
    <dxf>
      <numFmt numFmtId="167" formatCode="#,##0.00\ &quot;€&quot;"/>
    </dxf>
    <dxf>
      <numFmt numFmtId="168" formatCode="&quot;$&quot;#,##0.00"/>
    </dxf>
    <dxf>
      <numFmt numFmtId="167" formatCode="#,##0.00\ &quot;€&quot;"/>
    </dxf>
    <dxf>
      <numFmt numFmtId="168" formatCode="&quot;$&quot;#,##0.00"/>
    </dxf>
    <dxf>
      <numFmt numFmtId="167" formatCode="#,##0.00\ &quot;€&quot;"/>
    </dxf>
    <dxf>
      <numFmt numFmtId="168" formatCode="&quot;$&quot;#,##0.00"/>
    </dxf>
    <dxf>
      <numFmt numFmtId="167" formatCode="#,##0.00\ &quot;€&quot;"/>
    </dxf>
    <dxf>
      <numFmt numFmtId="168" formatCode="&quot;$&quot;#,##0.00"/>
    </dxf>
    <dxf>
      <numFmt numFmtId="167" formatCode="#,##0.00\ &quot;€&quot;"/>
    </dxf>
    <dxf>
      <numFmt numFmtId="168" formatCode="&quot;$&quot;#,##0.00"/>
    </dxf>
    <dxf>
      <numFmt numFmtId="167" formatCode="#,##0.00\ &quot;€&quot;"/>
    </dxf>
    <dxf>
      <numFmt numFmtId="168" formatCode="&quot;$&quot;#,##0.00"/>
    </dxf>
    <dxf>
      <numFmt numFmtId="167" formatCode="#,##0.00\ &quot;€&quot;"/>
    </dxf>
    <dxf>
      <numFmt numFmtId="168" formatCode="&quot;$&quot;#,##0.00"/>
    </dxf>
    <dxf>
      <numFmt numFmtId="167" formatCode="#,##0.00\ &quot;€&quot;"/>
    </dxf>
    <dxf>
      <numFmt numFmtId="168" formatCode="&quot;$&quot;#,##0.00"/>
    </dxf>
    <dxf>
      <numFmt numFmtId="167" formatCode="#,##0.00\ &quot;€&quot;"/>
    </dxf>
    <dxf>
      <numFmt numFmtId="167" formatCode="#,##0.00\ &quot;€&quot;"/>
    </dxf>
    <dxf>
      <numFmt numFmtId="167" formatCode="#,##0.00\ &quot;€&quot;"/>
    </dxf>
    <dxf>
      <numFmt numFmtId="168" formatCode="&quot;$&quot;#,##0.00"/>
    </dxf>
    <dxf>
      <numFmt numFmtId="167" formatCode="#,##0.00\ &quot;€&quot;"/>
    </dxf>
    <dxf>
      <numFmt numFmtId="168" formatCode="&quot;$&quot;#,##0.00"/>
    </dxf>
    <dxf>
      <numFmt numFmtId="167" formatCode="#,##0.00\ &quot;€&quot;"/>
    </dxf>
    <dxf>
      <numFmt numFmtId="167" formatCode="#,##0.00\ &quot;€&quot;"/>
    </dxf>
    <dxf>
      <numFmt numFmtId="167" formatCode="#,##0.00\ &quot;€&quot;"/>
    </dxf>
    <dxf>
      <numFmt numFmtId="168" formatCode="&quot;$&quot;#,##0.00"/>
    </dxf>
    <dxf>
      <numFmt numFmtId="167" formatCode="#,##0.00\ &quot;€&quot;"/>
    </dxf>
    <dxf>
      <numFmt numFmtId="168" formatCode="&quot;$&quot;#,##0.00"/>
    </dxf>
    <dxf>
      <numFmt numFmtId="167" formatCode="#,##0.00\ &quot;€&quot;"/>
    </dxf>
    <dxf>
      <numFmt numFmtId="167" formatCode="#,##0.00\ &quot;€&quot;"/>
      <fill>
        <patternFill patternType="none">
          <fgColor indexed="64"/>
          <bgColor indexed="65"/>
        </patternFill>
      </fill>
    </dxf>
    <dxf>
      <numFmt numFmtId="167" formatCode="#,##0.00\ &quot;€&quot;"/>
    </dxf>
    <dxf>
      <numFmt numFmtId="167" formatCode="#,##0.00\ &quot;€&quot;"/>
      <fill>
        <patternFill patternType="none">
          <fgColor indexed="64"/>
          <bgColor indexed="65"/>
        </patternFill>
      </fill>
    </dxf>
    <dxf>
      <numFmt numFmtId="167" formatCode="#,##0.00\ &quot;€&quot;"/>
    </dxf>
    <dxf>
      <numFmt numFmtId="167" formatCode="#,##0.00\ &quot;€&quot;"/>
      <fill>
        <patternFill patternType="none">
          <fgColor indexed="64"/>
          <bgColor indexed="65"/>
        </patternFill>
      </fill>
    </dxf>
    <dxf>
      <font>
        <b val="0"/>
        <i val="0"/>
        <strike val="0"/>
        <condense val="0"/>
        <extend val="0"/>
        <outline val="0"/>
        <shadow val="0"/>
        <u val="none"/>
        <vertAlign val="baseline"/>
        <sz val="10"/>
        <color theme="1" tint="0.24994659260841701"/>
        <name val="Calibri"/>
        <family val="2"/>
        <scheme val="minor"/>
      </font>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0"/>
        <color theme="1" tint="0.24994659260841701"/>
        <name val="Calibri"/>
        <family val="2"/>
        <scheme val="minor"/>
      </font>
      <fill>
        <patternFill patternType="none">
          <fgColor indexed="64"/>
          <bgColor indexed="65"/>
        </patternFill>
      </fill>
    </dxf>
    <dxf>
      <numFmt numFmtId="167" formatCode="#,##0.00\ &quot;€&quot;"/>
    </dxf>
    <dxf>
      <numFmt numFmtId="168" formatCode="&quot;$&quot;#,##0.00"/>
    </dxf>
    <dxf>
      <numFmt numFmtId="167" formatCode="#,##0.00\ &quot;€&quot;"/>
    </dxf>
    <dxf>
      <numFmt numFmtId="168" formatCode="&quot;$&quot;#,##0.00"/>
    </dxf>
    <dxf>
      <numFmt numFmtId="167" formatCode="#,##0.00\ &quot;€&quot;"/>
    </dxf>
    <dxf>
      <numFmt numFmtId="168" formatCode="&quot;$&quot;#,##0.00"/>
    </dxf>
    <dxf>
      <numFmt numFmtId="167" formatCode="#,##0.00\ &quot;€&quot;"/>
    </dxf>
    <dxf>
      <numFmt numFmtId="168" formatCode="&quot;$&quot;#,##0.00"/>
    </dxf>
    <dxf>
      <numFmt numFmtId="167" formatCode="#,##0.00\ &quot;€&quot;"/>
    </dxf>
    <dxf>
      <numFmt numFmtId="168" formatCode="&quot;$&quot;#,##0.00"/>
    </dxf>
    <dxf>
      <numFmt numFmtId="167" formatCode="#,##0.00\ &quot;€&quot;"/>
    </dxf>
    <dxf>
      <numFmt numFmtId="168" formatCode="&quot;$&quot;#,##0.00"/>
    </dxf>
    <dxf>
      <numFmt numFmtId="167" formatCode="#,##0.00\ &quot;€&quot;"/>
    </dxf>
    <dxf>
      <numFmt numFmtId="168" formatCode="&quot;$&quot;#,##0.00"/>
    </dxf>
    <dxf>
      <numFmt numFmtId="167" formatCode="#,##0.00\ &quot;€&quot;"/>
    </dxf>
    <dxf>
      <numFmt numFmtId="168" formatCode="&quot;$&quot;#,##0.00"/>
    </dxf>
    <dxf>
      <numFmt numFmtId="167" formatCode="#,##0.00\ &quot;€&quot;"/>
    </dxf>
    <dxf>
      <numFmt numFmtId="168" formatCode="&quot;$&quot;#,##0.00"/>
    </dxf>
    <dxf>
      <numFmt numFmtId="167" formatCode="#,##0.00\ &quot;€&quot;"/>
    </dxf>
    <dxf>
      <numFmt numFmtId="167" formatCode="#,##0.00\ &quot;€&quot;"/>
    </dxf>
    <dxf>
      <numFmt numFmtId="167" formatCode="#,##0.00\ &quot;€&quot;"/>
    </dxf>
    <dxf>
      <numFmt numFmtId="167" formatCode="#,##0.00\ &quot;€&quot;"/>
    </dxf>
    <dxf>
      <numFmt numFmtId="167" formatCode="#,##0.00\ &quot;€&quot;"/>
    </dxf>
    <dxf>
      <numFmt numFmtId="167" formatCode="#,##0.00\ &quot;€&quot;"/>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val="0"/>
        <i val="0"/>
        <color theme="1"/>
      </font>
    </dxf>
    <dxf>
      <font>
        <b/>
        <color theme="1"/>
      </font>
      <border>
        <top style="double">
          <color theme="4"/>
        </top>
      </border>
    </dxf>
    <dxf>
      <font>
        <b/>
        <color theme="0"/>
      </font>
      <fill>
        <patternFill patternType="solid">
          <fgColor theme="4"/>
          <bgColor theme="4" tint="-0.499984740745262"/>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1" defaultTableStyle="TableStyleLight9" defaultPivotStyle="PivotStyleLight16">
    <tableStyle name="Personal monthly budget" pivot="0" count="7" xr9:uid="{DF2684C2-C435-47FA-9646-E632C3AE8948}">
      <tableStyleElement type="wholeTable" dxfId="93"/>
      <tableStyleElement type="headerRow" dxfId="92"/>
      <tableStyleElement type="totalRow" dxfId="91"/>
      <tableStyleElement type="firstColumn" dxfId="90"/>
      <tableStyleElement type="lastColumn" dxfId="89"/>
      <tableStyleElement type="firstRowStripe" dxfId="88"/>
      <tableStyleElement type="firstColumnStripe" dxfId="8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echnique" displayName="Technique" ref="B12:E23" totalsRowCount="1">
  <autoFilter ref="B12:E22" xr:uid="{00000000-0009-0000-0100-000001000000}">
    <filterColumn colId="0" hiddenButton="1"/>
    <filterColumn colId="1" hiddenButton="1"/>
    <filterColumn colId="2" hiddenButton="1"/>
    <filterColumn colId="3" hiddenButton="1"/>
  </autoFilter>
  <tableColumns count="4">
    <tableColumn id="1" xr3:uid="{00000000-0010-0000-0000-000001000000}" name="TECHNIQUE" totalsRowLabel="Sous-total"/>
    <tableColumn id="2" xr3:uid="{00000000-0010-0000-0000-000002000000}" name="  " dataDxfId="86" totalsRowDxfId="85"/>
    <tableColumn id="3" xr3:uid="{00000000-0010-0000-0000-000003000000}" name=" " dataDxfId="84" totalsRowDxfId="83"/>
    <tableColumn id="4" xr3:uid="{00000000-0010-0000-0000-000004000000}" name="Dépenses" totalsRowFunction="custom" dataDxfId="82" totalsRowDxfId="81">
      <calculatedColumnFormula>Technique[[#This Row],[  ]]-Technique[[#This Row],[ ]]</calculatedColumnFormula>
      <totalsRowFormula>SUM(Technique[Dépenses])</totalsRowFormula>
    </tableColumn>
  </tableColumns>
  <tableStyleInfo name="Personal monthly budget" showFirstColumn="1" showLastColumn="1" showRowStripes="0" showColumnStripes="0"/>
  <extLst>
    <ext xmlns:x14="http://schemas.microsoft.com/office/spreadsheetml/2009/9/main" uri="{504A1905-F514-4f6f-8877-14C23A59335A}">
      <x14:table altTextSummary="Entrez dans cette table les coûts prévus et réels relatifs au logement. La différence est calculée automatiquement"/>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0E21F9-A19C-A040-B3DD-D12AC7A50EA3}" name="Logistique" displayName="Logistique" ref="B66:E78" totalsRowCount="1" headerRowCellStyle="Normal">
  <autoFilter ref="B66:E77" xr:uid="{6A0E21F9-A19C-A040-B3DD-D12AC7A50EA3}"/>
  <tableColumns count="4">
    <tableColumn id="1" xr3:uid="{E5162EA9-DB43-FD42-80FD-967114DAD4D0}" name="LOGISTIQUE" totalsRowLabel="Sous-total"/>
    <tableColumn id="2" xr3:uid="{038B1C44-7094-674D-9AFC-E5F107B5B319}" name="  " dataDxfId="29" totalsRowDxfId="28"/>
    <tableColumn id="3" xr3:uid="{08F16F1F-767B-BC49-9332-09A93412A904}" name=" " dataDxfId="27" totalsRowDxfId="26"/>
    <tableColumn id="4" xr3:uid="{F76AC412-4069-A040-BAA9-F44111592BAB}" name="Dépenses" totalsRowFunction="custom" dataDxfId="25" totalsRowDxfId="24">
      <calculatedColumnFormula>Logistique[[#This Row],[  ]]-Logistique[[#This Row],[ ]]</calculatedColumnFormula>
      <totalsRowFormula>SUM(Logistique[Dépenses])</totalsRowFormula>
    </tableColumn>
  </tableColumns>
  <tableStyleInfo name="Personal monthly budget" showFirstColumn="1" showLastColumn="1" showRowStripes="0" showColumnStripes="0"/>
  <extLst>
    <ext xmlns:x14="http://schemas.microsoft.com/office/spreadsheetml/2009/9/main" uri="{504A1905-F514-4f6f-8877-14C23A59335A}">
      <x14:table altTextSummary="Entrez dans cette table les coûts prévus et réels relatifs à l’assurance. La différence est calculée automatiquement"/>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790A9AB-A466-4118-AEAC-B902B447A244}" name="Valorisation" displayName="Valorisation" ref="B85:E89" totalsRowCount="1">
  <autoFilter ref="B85:E88" xr:uid="{F790A9AB-A466-4118-AEAC-B902B447A244}"/>
  <tableColumns count="4">
    <tableColumn id="1" xr3:uid="{84048751-E475-40E1-8CDC-9F60B4C0EF49}" name="VALORISATION DE BENEVOLAT" totalsRowLabel="Sous-total"/>
    <tableColumn id="2" xr3:uid="{01A14602-4C35-4188-BC4A-9791B2AA8918}" name="  " dataDxfId="23" totalsRowDxfId="22"/>
    <tableColumn id="3" xr3:uid="{AF6F7064-B332-45B8-8C61-63A37DAF724E}" name=" " dataDxfId="21" totalsRowDxfId="20"/>
    <tableColumn id="4" xr3:uid="{C9BF52F7-926B-49F1-8F19-AD83C78ABF0D}" name="Equivalent" totalsRowFunction="sum" dataDxfId="19" totalsRowDxfId="18">
      <calculatedColumnFormula>(27*7*5*12)+(27*30*2*12)</calculatedColumnFormula>
    </tableColumn>
  </tableColumns>
  <tableStyleInfo name="Personal monthly budget" showFirstColumn="1" showLastColumn="1" showRowStripes="0" showColumnStripes="0"/>
  <extLst>
    <ext xmlns:x14="http://schemas.microsoft.com/office/spreadsheetml/2009/9/main" uri="{504A1905-F514-4f6f-8877-14C23A59335A}">
      <x14:table altTextSummary="Entrez dans cette table les coûts prévus et réels relatifs aux animaux. La différence est calculée automatiquement"/>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416A702-0811-43F6-BA77-89C985AE7AF1}" name="Dispo" displayName="Dispo" ref="B90:E95" totalsRowCount="1">
  <autoFilter ref="B90:E94" xr:uid="{5416A702-0811-43F6-BA77-89C985AE7AF1}"/>
  <tableColumns count="4">
    <tableColumn id="1" xr3:uid="{A8A27B71-50E6-4188-B27F-140E93AB9B63}" name="Mise à disposition" totalsRowLabel="Sous-total"/>
    <tableColumn id="2" xr3:uid="{5AA464F3-6615-4501-8047-F57B43B827D6}" name="  " dataDxfId="17" totalsRowDxfId="16"/>
    <tableColumn id="3" xr3:uid="{31D90891-0AD9-402C-A264-0AB9B8F39582}" name=" " dataDxfId="15" totalsRowDxfId="14"/>
    <tableColumn id="4" xr3:uid="{48528F01-7AED-4BDC-9220-53101BA802DA}" name="Equivalent" totalsRowFunction="sum" dataDxfId="13" totalsRowDxfId="12">
      <calculatedColumnFormula>Dispo[[#This Row],[  ]]-Dispo[[#This Row],[ ]]</calculatedColumnFormula>
    </tableColumn>
  </tableColumns>
  <tableStyleInfo name="Personal monthly budget" showFirstColumn="1" showLastColumn="1" showRowStripes="0" showColumnStripes="0"/>
  <extLst>
    <ext xmlns:x14="http://schemas.microsoft.com/office/spreadsheetml/2009/9/main" uri="{504A1905-F514-4f6f-8877-14C23A59335A}">
      <x14:table altTextSummary="Entrez dans cette table les coûts prévus et réels relatifs aux animaux. La différence est calculée automatiquement"/>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9CEFF61-4F94-402A-9E05-4B180BD78CA0}" name="Bénévolat" displayName="Bénévolat" ref="G85:J89" totalsRowCount="1">
  <autoFilter ref="G85:J88" xr:uid="{E9CEFF61-4F94-402A-9E05-4B180BD78CA0}"/>
  <tableColumns count="4">
    <tableColumn id="1" xr3:uid="{3C5E7D6F-F9C9-4F85-A80A-73F50E311CB3}" name="VALORISATION DE BENEVOLAT" totalsRowLabel="Sous-total"/>
    <tableColumn id="2" xr3:uid="{50622973-141E-46A7-841B-72C29E08629A}" name="  " dataDxfId="11" totalsRowDxfId="10"/>
    <tableColumn id="3" xr3:uid="{83BBF5E3-4A57-4D29-B417-3A79B4A76674}" name=" " dataDxfId="9" totalsRowDxfId="8"/>
    <tableColumn id="4" xr3:uid="{3A0B9491-BAC5-405F-8D23-1DA2807E7B0B}" name="Equivalent" totalsRowFunction="sum" dataDxfId="7" totalsRowDxfId="6">
      <calculatedColumnFormula>(27*7*5*12)+(27*30*2*12)</calculatedColumnFormula>
    </tableColumn>
  </tableColumns>
  <tableStyleInfo name="Personal monthly budget" showFirstColumn="1" showLastColumn="1" showRowStripes="0" showColumnStripes="0"/>
  <extLst>
    <ext xmlns:x14="http://schemas.microsoft.com/office/spreadsheetml/2009/9/main" uri="{504A1905-F514-4f6f-8877-14C23A59335A}">
      <x14:table altTextSummary="Entrez dans cette table les coûts prévus et réels relatifs aux animaux. La différence est calculée automatiquement"/>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AF5C134D-309D-4905-B1E6-7FA7A558582E}" name="Mise" displayName="Mise" ref="G90:J95" totalsRowCount="1">
  <autoFilter ref="G90:J94" xr:uid="{AF5C134D-309D-4905-B1E6-7FA7A558582E}"/>
  <tableColumns count="4">
    <tableColumn id="1" xr3:uid="{F18F538E-2C71-4E8B-89B3-F201E2C96A8F}" name="Mise à disposition" totalsRowLabel="Sous-total"/>
    <tableColumn id="2" xr3:uid="{87AF39EB-F1E6-4BA5-9DAF-99842280AB36}" name="  " dataDxfId="5" totalsRowDxfId="4"/>
    <tableColumn id="3" xr3:uid="{318855FB-017B-4438-B6FA-0B18DAFC266F}" name=" " dataDxfId="3" totalsRowDxfId="2"/>
    <tableColumn id="4" xr3:uid="{C3B251DB-4F1A-4FD2-BCD1-06E6DCBCA151}" name="Equivalent" totalsRowFunction="sum" dataDxfId="1" totalsRowDxfId="0">
      <calculatedColumnFormula>Dispo[[#This Row],[Equivalent]]</calculatedColumnFormula>
    </tableColumn>
  </tableColumns>
  <tableStyleInfo name="Personal monthly budget" showFirstColumn="1" showLastColumn="1" showRowStripes="0" showColumnStripes="0"/>
  <extLst>
    <ext xmlns:x14="http://schemas.microsoft.com/office/spreadsheetml/2009/9/main" uri="{504A1905-F514-4f6f-8877-14C23A59335A}">
      <x14:table altTextSummary="Entrez dans cette table les coûts prévus et réels relatifs aux animaux. La différence est calculée automatiquemen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Subventions" displayName="Subventions" ref="G12:J22" totalsRowCount="1" headerRowCellStyle="Normal">
  <autoFilter ref="G12:J21" xr:uid="{00000000-0009-0000-0100-000002000000}">
    <filterColumn colId="0" hiddenButton="1"/>
    <filterColumn colId="1" hiddenButton="1"/>
    <filterColumn colId="2" hiddenButton="1"/>
    <filterColumn colId="3" hiddenButton="1"/>
  </autoFilter>
  <tableColumns count="4">
    <tableColumn id="1" xr3:uid="{00000000-0010-0000-0100-000001000000}" name="SUBVENTIONS &amp; AIDES" totalsRowLabel="Sous-total"/>
    <tableColumn id="2" xr3:uid="{00000000-0010-0000-0100-000002000000}" name=" " dataDxfId="80" totalsRowDxfId="79"/>
    <tableColumn id="3" xr3:uid="{00000000-0010-0000-0100-000003000000}" name="    " dataDxfId="78" totalsRowDxfId="77"/>
    <tableColumn id="4" xr3:uid="{00000000-0010-0000-0100-000004000000}" name="Recettes" totalsRowFunction="custom" dataDxfId="76" totalsRowDxfId="75">
      <calculatedColumnFormula>Subventions[[#This Row],[ ]]-Subventions[[#This Row],[    ]]</calculatedColumnFormula>
      <totalsRowFormula>SUM(Subventions[Recettes])</totalsRowFormula>
    </tableColumn>
  </tableColumns>
  <tableStyleInfo name="Personal monthly budget" showFirstColumn="1" showLastColumn="1" showRowStripes="0" showColumnStripes="0"/>
  <extLst>
    <ext xmlns:x14="http://schemas.microsoft.com/office/spreadsheetml/2009/9/main" uri="{504A1905-F514-4f6f-8877-14C23A59335A}">
      <x14:table altTextSummary="Entrez dans cette table les coûts prévus et réels relatifs aux loisirs. La différence est calculée automatiquemen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Partenariats" displayName="Partenariats" ref="G24:J31" totalsRowCount="1">
  <autoFilter ref="G24:J30" xr:uid="{00000000-0009-0000-0100-000003000000}">
    <filterColumn colId="0" hiddenButton="1"/>
    <filterColumn colId="1" hiddenButton="1"/>
    <filterColumn colId="2" hiddenButton="1"/>
    <filterColumn colId="3" hiddenButton="1"/>
  </autoFilter>
  <tableColumns count="4">
    <tableColumn id="1" xr3:uid="{00000000-0010-0000-0200-000001000000}" name="PARTENARIATS" totalsRowLabel="Sous-total"/>
    <tableColumn id="2" xr3:uid="{00000000-0010-0000-0200-000002000000}" name=" " dataDxfId="74" totalsRowDxfId="73"/>
    <tableColumn id="3" xr3:uid="{00000000-0010-0000-0200-000003000000}" name="  " dataDxfId="72" totalsRowDxfId="71"/>
    <tableColumn id="4" xr3:uid="{00000000-0010-0000-0200-000004000000}" name="Recettes" totalsRowFunction="custom" dataDxfId="70" totalsRowDxfId="69">
      <calculatedColumnFormula>Partenariats[[#This Row],[ ]]-Partenariats[[#This Row],[  ]]</calculatedColumnFormula>
      <totalsRowFormula>SUM(Partenariats[Recettes])</totalsRowFormula>
    </tableColumn>
  </tableColumns>
  <tableStyleInfo name="Personal monthly budget" showFirstColumn="1" showLastColumn="1" showRowStripes="0" showColumnStripes="0"/>
  <extLst>
    <ext xmlns:x14="http://schemas.microsoft.com/office/spreadsheetml/2009/9/main" uri="{504A1905-F514-4f6f-8877-14C23A59335A}">
      <x14:table altTextSummary="Entrez dans cette table les coûts prévus et réels relatifs aux emprunts. La différence est calculée automatiquemen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ommunication" displayName="Communication" ref="B25:E44" totalsRowCount="1" headerRowCellStyle="Normal">
  <autoFilter ref="B25:E43" xr:uid="{00000000-0009-0000-0100-000004000000}">
    <filterColumn colId="0" hiddenButton="1"/>
    <filterColumn colId="1" hiddenButton="1"/>
    <filterColumn colId="2" hiddenButton="1"/>
    <filterColumn colId="3" hiddenButton="1"/>
  </autoFilter>
  <tableColumns count="4">
    <tableColumn id="1" xr3:uid="{00000000-0010-0000-0300-000001000000}" name="COMMUNICATION" totalsRowLabel="Sous-total"/>
    <tableColumn id="2" xr3:uid="{00000000-0010-0000-0300-000002000000}" name=" " dataDxfId="68" totalsRowDxfId="67"/>
    <tableColumn id="3" xr3:uid="{00000000-0010-0000-0300-000003000000}" name="  " dataDxfId="66" totalsRowDxfId="65"/>
    <tableColumn id="4" xr3:uid="{00000000-0010-0000-0300-000004000000}" name="Dépenses" totalsRowFunction="custom" dataDxfId="64" totalsRowDxfId="63">
      <calculatedColumnFormula>Communication[[#This Row],[ ]]-Communication[[#This Row],[  ]]</calculatedColumnFormula>
      <totalsRowFormula>E26+E34+E39</totalsRowFormula>
    </tableColumn>
  </tableColumns>
  <tableStyleInfo name="Personal monthly budget" showFirstColumn="1" showLastColumn="1" showRowStripes="0" showColumnStripes="0"/>
  <extLst>
    <ext xmlns:x14="http://schemas.microsoft.com/office/spreadsheetml/2009/9/main" uri="{504A1905-F514-4f6f-8877-14C23A59335A}">
      <x14:table altTextSummary="Entrez dans cette table les coûts prévus et réels relatifs au transport. La différence est calculée automatiquement"/>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Artistique" displayName="Artistique" ref="B46:E52" totalsRowCount="1" headerRowDxfId="62" dataDxfId="61">
  <autoFilter ref="B46:E51" xr:uid="{00000000-0009-0000-0100-000005000000}">
    <filterColumn colId="0" hiddenButton="1"/>
    <filterColumn colId="1" hiddenButton="1"/>
    <filterColumn colId="2" hiddenButton="1"/>
    <filterColumn colId="3" hiddenButton="1"/>
  </autoFilter>
  <tableColumns count="4">
    <tableColumn id="1" xr3:uid="{00000000-0010-0000-0400-000001000000}" name="ARTISTIQUE" totalsRowLabel="Sous-total" dataDxfId="60"/>
    <tableColumn id="2" xr3:uid="{00000000-0010-0000-0400-000002000000}" name=" " dataDxfId="59" totalsRowDxfId="58"/>
    <tableColumn id="3" xr3:uid="{00000000-0010-0000-0400-000003000000}" name="  " dataDxfId="57" totalsRowDxfId="56"/>
    <tableColumn id="4" xr3:uid="{00000000-0010-0000-0400-000004000000}" name="Dépenses" totalsRowFunction="custom" dataDxfId="55" totalsRowDxfId="54">
      <totalsRowFormula>SUM(Artistique[Dépenses])</totalsRowFormula>
    </tableColumn>
  </tableColumns>
  <tableStyleInfo name="Personal monthly budget" showFirstColumn="1" showLastColumn="1" showRowStripes="0" showColumnStripes="0"/>
  <extLst>
    <ext xmlns:x14="http://schemas.microsoft.com/office/spreadsheetml/2009/9/main" uri="{504A1905-F514-4f6f-8877-14C23A59335A}">
      <x14:table altTextSummary="Entrez dans cette table les coûts prévus et réels relatifs à l’assurance. La différence est calculée automatiquement"/>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Billetterie" displayName="Billetterie" ref="G33:J38" totalsRowCount="1" headerRowCellStyle="Normal">
  <autoFilter ref="G33:J37" xr:uid="{00000000-0009-0000-0100-000006000000}">
    <filterColumn colId="0" hiddenButton="1"/>
    <filterColumn colId="1" hiddenButton="1"/>
    <filterColumn colId="2" hiddenButton="1"/>
    <filterColumn colId="3" hiddenButton="1"/>
  </autoFilter>
  <tableColumns count="4">
    <tableColumn id="1" xr3:uid="{00000000-0010-0000-0500-000001000000}" name="BILLETTERIE" totalsRowLabel="Sous-total"/>
    <tableColumn id="2" xr3:uid="{00000000-0010-0000-0500-000002000000}" name=" " dataDxfId="53" totalsRowDxfId="52"/>
    <tableColumn id="3" xr3:uid="{00000000-0010-0000-0500-000003000000}" name="  " dataDxfId="51" totalsRowDxfId="50"/>
    <tableColumn id="4" xr3:uid="{00000000-0010-0000-0500-000004000000}" name="Recettes" totalsRowFunction="sum" dataDxfId="49" totalsRowDxfId="48">
      <calculatedColumnFormula>150*7*20</calculatedColumnFormula>
    </tableColumn>
  </tableColumns>
  <tableStyleInfo name="Personal monthly budget" showFirstColumn="1" showLastColumn="1" showRowStripes="0" showColumnStripes="0"/>
  <extLst>
    <ext xmlns:x14="http://schemas.microsoft.com/office/spreadsheetml/2009/9/main" uri="{504A1905-F514-4f6f-8877-14C23A59335A}">
      <x14:table altTextSummary="Entrez dans cette table les coûts prévus et réels relatifs aux impôts. La différence est calculée automatiquement"/>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Bar" displayName="Bar" ref="G40:J44" totalsRowCount="1" headerRowCellStyle="Normal">
  <autoFilter ref="G40:J43" xr:uid="{00000000-0009-0000-0100-000007000000}">
    <filterColumn colId="0" hiddenButton="1"/>
    <filterColumn colId="1" hiddenButton="1"/>
    <filterColumn colId="2" hiddenButton="1"/>
    <filterColumn colId="3" hiddenButton="1"/>
  </autoFilter>
  <tableColumns count="4">
    <tableColumn id="1" xr3:uid="{00000000-0010-0000-0600-000001000000}" name="BAR" totalsRowLabel="Sous-total"/>
    <tableColumn id="2" xr3:uid="{00000000-0010-0000-0600-000002000000}" name=" " dataDxfId="47" totalsRowDxfId="46"/>
    <tableColumn id="3" xr3:uid="{00000000-0010-0000-0600-000003000000}" name="  " dataDxfId="45" totalsRowDxfId="44"/>
    <tableColumn id="4" xr3:uid="{00000000-0010-0000-0600-000004000000}" name="Recettes" totalsRowFunction="sum" dataDxfId="43" totalsRowDxfId="42">
      <calculatedColumnFormula>1000</calculatedColumnFormula>
    </tableColumn>
  </tableColumns>
  <tableStyleInfo name="Personal monthly budget" showFirstColumn="1" showLastColumn="1" showRowStripes="0" showColumnStripes="0"/>
  <extLst>
    <ext xmlns:x14="http://schemas.microsoft.com/office/spreadsheetml/2009/9/main" uri="{504A1905-F514-4f6f-8877-14C23A59335A}">
      <x14:table altTextSummary="Entrez dans cette table les coûts prévus et réels relatifs à l’épargne et aux investissements. La différence est calculée automatiquement"/>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xes" displayName="Taxes" ref="B54:E58" totalsRowCount="1" headerRowCellStyle="Normal">
  <autoFilter ref="B54:E57" xr:uid="{00000000-0009-0000-0100-000008000000}">
    <filterColumn colId="0" hiddenButton="1"/>
    <filterColumn colId="1" hiddenButton="1"/>
    <filterColumn colId="2" hiddenButton="1"/>
    <filterColumn colId="3" hiddenButton="1"/>
  </autoFilter>
  <tableColumns count="4">
    <tableColumn id="1" xr3:uid="{00000000-0010-0000-0700-000001000000}" name="TAXES" totalsRowLabel="Sous-total"/>
    <tableColumn id="2" xr3:uid="{00000000-0010-0000-0700-000002000000}" name=" " dataDxfId="41" totalsRowDxfId="40"/>
    <tableColumn id="3" xr3:uid="{00000000-0010-0000-0700-000003000000}" name="  " dataDxfId="39" totalsRowDxfId="38"/>
    <tableColumn id="4" xr3:uid="{00000000-0010-0000-0700-000004000000}" name="Dépenses" totalsRowFunction="sum" dataDxfId="37" totalsRowDxfId="36">
      <calculatedColumnFormula>Taxes[[#This Row],[ ]]-Taxes[[#This Row],[  ]]</calculatedColumnFormula>
    </tableColumn>
  </tableColumns>
  <tableStyleInfo name="Personal monthly budget" showFirstColumn="1" showLastColumn="1" showRowStripes="0" showColumnStripes="0"/>
  <extLst>
    <ext xmlns:x14="http://schemas.microsoft.com/office/spreadsheetml/2009/9/main" uri="{504A1905-F514-4f6f-8877-14C23A59335A}">
      <x14:table altTextSummary="Entrez dans cette table les coûts prévus et réels relatifs à l’alimentation. La différence est calculée automatiquement"/>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Buvettes" displayName="Buvettes" ref="B60:E64" totalsRowCount="1">
  <autoFilter ref="B60:E63" xr:uid="{00000000-0009-0000-0100-00000A000000}">
    <filterColumn colId="0" hiddenButton="1"/>
    <filterColumn colId="1" hiddenButton="1"/>
    <filterColumn colId="2" hiddenButton="1"/>
    <filterColumn colId="3" hiddenButton="1"/>
  </autoFilter>
  <tableColumns count="4">
    <tableColumn id="1" xr3:uid="{00000000-0010-0000-0900-000001000000}" name="BAR" totalsRowLabel="Sous-total"/>
    <tableColumn id="2" xr3:uid="{00000000-0010-0000-0900-000002000000}" name="  " dataDxfId="35" totalsRowDxfId="34"/>
    <tableColumn id="3" xr3:uid="{00000000-0010-0000-0900-000003000000}" name=" " dataDxfId="33" totalsRowDxfId="32"/>
    <tableColumn id="4" xr3:uid="{00000000-0010-0000-0900-000004000000}" name="Dépenses" totalsRowFunction="sum" dataDxfId="31" totalsRowDxfId="30">
      <calculatedColumnFormula>Buvettes[[#This Row],[  ]]-Buvettes[[#This Row],[ ]]</calculatedColumnFormula>
    </tableColumn>
  </tableColumns>
  <tableStyleInfo name="Personal monthly budget" showFirstColumn="1" showLastColumn="1" showRowStripes="0" showColumnStripes="0"/>
  <extLst>
    <ext xmlns:x14="http://schemas.microsoft.com/office/spreadsheetml/2009/9/main" uri="{504A1905-F514-4f6f-8877-14C23A59335A}">
      <x14:table altTextSummary="Entrez dans cette table les coûts prévus et réels relatifs aux animaux. La différence est calculée automatiquement"/>
    </ext>
  </extLst>
</table>
</file>

<file path=xl/theme/theme1.xml><?xml version="1.0" encoding="utf-8"?>
<a:theme xmlns:a="http://schemas.openxmlformats.org/drawingml/2006/main" name="WeightLossTracker">
  <a:themeElements>
    <a:clrScheme name="WeightLossTracker_colors">
      <a:dk1>
        <a:srgbClr val="000000"/>
      </a:dk1>
      <a:lt1>
        <a:srgbClr val="FFFFFF"/>
      </a:lt1>
      <a:dk2>
        <a:srgbClr val="000000"/>
      </a:dk2>
      <a:lt2>
        <a:srgbClr val="FFFFFF"/>
      </a:lt2>
      <a:accent1>
        <a:srgbClr val="47B0B8"/>
      </a:accent1>
      <a:accent2>
        <a:srgbClr val="FF6B6B"/>
      </a:accent2>
      <a:accent3>
        <a:srgbClr val="556270"/>
      </a:accent3>
      <a:accent4>
        <a:srgbClr val="81B63C"/>
      </a:accent4>
      <a:accent5>
        <a:srgbClr val="ED932C"/>
      </a:accent5>
      <a:accent6>
        <a:srgbClr val="A0729D"/>
      </a:accent6>
      <a:hlink>
        <a:srgbClr val="39ADDC"/>
      </a:hlink>
      <a:folHlink>
        <a:srgbClr val="895EA7"/>
      </a:folHlink>
    </a:clrScheme>
    <a:fontScheme name="Finance charge">
      <a:majorFont>
        <a:latin typeface="Century Gothic"/>
        <a:ea typeface=""/>
        <a:cs typeface=""/>
      </a:majorFont>
      <a:minorFont>
        <a:latin typeface="Calibri"/>
        <a:ea typeface=""/>
        <a:cs typeface=""/>
      </a:minorFont>
    </a:fontScheme>
    <a:fmtScheme name="Spring">
      <a:fillStyleLst>
        <a:solidFill>
          <a:schemeClr val="phClr"/>
        </a:solidFill>
        <a:gradFill rotWithShape="1">
          <a:gsLst>
            <a:gs pos="0">
              <a:schemeClr val="phClr">
                <a:tint val="70000"/>
                <a:lumMod val="110000"/>
              </a:schemeClr>
            </a:gs>
            <a:gs pos="100000">
              <a:schemeClr val="phClr">
                <a:tint val="100000"/>
                <a:shade val="85000"/>
                <a:lumMod val="80000"/>
              </a:schemeClr>
            </a:gs>
          </a:gsLst>
          <a:lin ang="5400000" scaled="1"/>
        </a:gradFill>
        <a:gradFill rotWithShape="1">
          <a:gsLst>
            <a:gs pos="0">
              <a:schemeClr val="phClr">
                <a:tint val="97000"/>
                <a:satMod val="100000"/>
                <a:lumMod val="110000"/>
              </a:schemeClr>
            </a:gs>
            <a:gs pos="100000">
              <a:schemeClr val="phClr">
                <a:shade val="85000"/>
                <a:lumMod val="80000"/>
              </a:schemeClr>
            </a:gs>
          </a:gsLst>
          <a:lin ang="5400000" scaled="0"/>
        </a:gradFill>
      </a:fillStyleLst>
      <a:lnStyleLst>
        <a:ln w="12700" cap="rnd" cmpd="sng" algn="ctr">
          <a:solidFill>
            <a:schemeClr val="phClr"/>
          </a:solidFill>
          <a:prstDash val="solid"/>
        </a:ln>
        <a:ln w="19050" cap="rnd" cmpd="sng" algn="ctr">
          <a:solidFill>
            <a:schemeClr val="phClr"/>
          </a:solidFill>
          <a:prstDash val="solid"/>
        </a:ln>
        <a:ln w="28575" cap="rnd" cmpd="sng"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88900" dist="38100" dir="5400000" algn="ctr" rotWithShape="0">
              <a:srgbClr val="000000">
                <a:alpha val="65000"/>
              </a:srgbClr>
            </a:outerShdw>
          </a:effectLst>
          <a:scene3d>
            <a:camera prst="orthographicFront">
              <a:rot lat="0" lon="0" rev="0"/>
            </a:camera>
            <a:lightRig rig="threePt" dir="tl">
              <a:rot lat="0" lon="0" rev="5400000"/>
            </a:lightRig>
          </a:scene3d>
          <a:sp3d>
            <a:bevelT w="25400" h="38100"/>
          </a:sp3d>
        </a:effectStyle>
      </a:effectStyleLst>
      <a:bgFillStyleLst>
        <a:solidFill>
          <a:schemeClr val="phClr"/>
        </a:solidFill>
        <a:gradFill rotWithShape="1">
          <a:gsLst>
            <a:gs pos="0">
              <a:schemeClr val="phClr">
                <a:tint val="100000"/>
                <a:shade val="100000"/>
                <a:hueMod val="100000"/>
                <a:satMod val="106000"/>
                <a:lumMod val="100000"/>
              </a:schemeClr>
            </a:gs>
            <a:gs pos="88000">
              <a:schemeClr val="phClr">
                <a:tint val="90000"/>
                <a:shade val="68000"/>
                <a:hueMod val="100000"/>
                <a:satMod val="114000"/>
                <a:lumMod val="74000"/>
              </a:schemeClr>
            </a:gs>
          </a:gsLst>
          <a:lin ang="5400000" scaled="1"/>
        </a:gradFill>
        <a:gradFill rotWithShape="1">
          <a:gsLst>
            <a:gs pos="0">
              <a:schemeClr val="phClr">
                <a:tint val="94000"/>
                <a:shade val="100000"/>
                <a:hueMod val="100000"/>
                <a:satMod val="118000"/>
                <a:lumMod val="100000"/>
              </a:schemeClr>
            </a:gs>
            <a:gs pos="100000">
              <a:schemeClr val="phClr">
                <a:tint val="98000"/>
                <a:shade val="68000"/>
                <a:hueMod val="100000"/>
                <a:satMod val="118000"/>
                <a:lumMod val="82000"/>
              </a:schemeClr>
            </a:gs>
          </a:gsLst>
          <a:path path="circle">
            <a:fillToRect l="50000" t="50000" r="100000" b="10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M99"/>
  <sheetViews>
    <sheetView showGridLines="0" tabSelected="1" topLeftCell="A49" zoomScale="82" workbookViewId="0">
      <selection activeCell="I60" sqref="I60"/>
    </sheetView>
  </sheetViews>
  <sheetFormatPr baseColWidth="10" defaultColWidth="9.33203125" defaultRowHeight="13.8" x14ac:dyDescent="0.3"/>
  <cols>
    <col min="1" max="1" width="2.6640625" style="5" customWidth="1"/>
    <col min="2" max="2" width="29.6640625" customWidth="1"/>
    <col min="3" max="3" width="16" customWidth="1"/>
    <col min="4" max="4" width="13" customWidth="1"/>
    <col min="5" max="5" width="12.5546875" customWidth="1"/>
    <col min="6" max="6" width="2.6640625" customWidth="1"/>
    <col min="7" max="7" width="37.5546875" customWidth="1"/>
    <col min="8" max="8" width="16" customWidth="1"/>
    <col min="9" max="9" width="13" customWidth="1"/>
    <col min="10" max="10" width="12.5546875" customWidth="1"/>
    <col min="11" max="11" width="2.6640625" customWidth="1"/>
    <col min="12" max="12" width="9.33203125" bestFit="1" customWidth="1"/>
  </cols>
  <sheetData>
    <row r="1" spans="1:12" s="2" customFormat="1" ht="14.4" x14ac:dyDescent="0.3">
      <c r="A1" s="4" t="s">
        <v>0</v>
      </c>
      <c r="B1" s="18"/>
      <c r="C1" s="18"/>
      <c r="D1" s="18"/>
      <c r="E1" s="18"/>
      <c r="F1" s="18"/>
      <c r="G1" s="18"/>
      <c r="H1" s="18"/>
      <c r="I1" s="18"/>
      <c r="J1" s="18"/>
      <c r="K1" s="18"/>
      <c r="L1" s="18"/>
    </row>
    <row r="2" spans="1:12" s="2" customFormat="1" ht="28.2" thickBot="1" x14ac:dyDescent="0.5">
      <c r="A2" s="4" t="s">
        <v>1</v>
      </c>
      <c r="B2" s="1" t="s">
        <v>2</v>
      </c>
      <c r="C2" s="1"/>
      <c r="D2" s="1"/>
      <c r="E2" s="1"/>
      <c r="F2" s="1"/>
      <c r="G2" s="1"/>
      <c r="H2" s="1"/>
      <c r="I2" s="1"/>
      <c r="J2" s="1"/>
      <c r="K2" s="18"/>
      <c r="L2" s="18"/>
    </row>
    <row r="4" spans="1:12" x14ac:dyDescent="0.3">
      <c r="A4" s="5" t="s">
        <v>3</v>
      </c>
      <c r="B4" s="31" t="s">
        <v>4</v>
      </c>
      <c r="C4" s="15">
        <v>2017</v>
      </c>
      <c r="D4" s="17">
        <f>E8-E4</f>
        <v>8348.74</v>
      </c>
      <c r="E4" s="7">
        <v>13166.24</v>
      </c>
      <c r="G4" s="32" t="s">
        <v>5</v>
      </c>
      <c r="H4" s="32"/>
      <c r="I4" s="32"/>
      <c r="J4" s="30">
        <f>E81</f>
        <v>53649.998</v>
      </c>
    </row>
    <row r="5" spans="1:12" x14ac:dyDescent="0.3">
      <c r="B5" s="31"/>
      <c r="C5" s="15">
        <v>2019</v>
      </c>
      <c r="D5" s="17">
        <f t="shared" ref="D5:D6" si="0">E9-E5</f>
        <v>1664.9700000000012</v>
      </c>
      <c r="E5" s="8">
        <v>27505.93</v>
      </c>
      <c r="G5" s="32"/>
      <c r="H5" s="32"/>
      <c r="I5" s="32"/>
      <c r="J5" s="30"/>
    </row>
    <row r="6" spans="1:12" x14ac:dyDescent="0.3">
      <c r="A6" s="5" t="s">
        <v>6</v>
      </c>
      <c r="B6" s="31"/>
      <c r="C6" s="15">
        <v>2022</v>
      </c>
      <c r="D6" s="17">
        <f t="shared" si="0"/>
        <v>271.31999999999971</v>
      </c>
      <c r="E6" s="9">
        <v>45251.74</v>
      </c>
      <c r="G6" s="32" t="s">
        <v>7</v>
      </c>
      <c r="H6" s="32"/>
      <c r="I6" s="32"/>
      <c r="J6" s="30">
        <f>J81</f>
        <v>53650</v>
      </c>
      <c r="L6" s="6"/>
    </row>
    <row r="7" spans="1:12" x14ac:dyDescent="0.3">
      <c r="B7" s="3"/>
      <c r="C7" s="3"/>
      <c r="D7" s="3"/>
      <c r="E7" s="3"/>
      <c r="G7" s="32"/>
      <c r="H7" s="32"/>
      <c r="I7" s="32"/>
      <c r="J7" s="30"/>
      <c r="L7" s="6"/>
    </row>
    <row r="8" spans="1:12" x14ac:dyDescent="0.3">
      <c r="A8" s="5" t="s">
        <v>8</v>
      </c>
      <c r="B8" s="31" t="s">
        <v>9</v>
      </c>
      <c r="C8" s="15">
        <v>2017</v>
      </c>
      <c r="D8" s="16"/>
      <c r="E8" s="7">
        <v>21514.98</v>
      </c>
      <c r="G8" s="32" t="s">
        <v>10</v>
      </c>
      <c r="H8" s="32"/>
      <c r="I8" s="32"/>
      <c r="J8" s="30">
        <f>J6-J4</f>
        <v>2.0000000004074536E-3</v>
      </c>
      <c r="L8" s="6"/>
    </row>
    <row r="9" spans="1:12" x14ac:dyDescent="0.3">
      <c r="B9" s="31"/>
      <c r="C9" s="15">
        <v>2019</v>
      </c>
      <c r="D9" s="16"/>
      <c r="E9" s="8">
        <v>29170.9</v>
      </c>
      <c r="G9" s="32"/>
      <c r="H9" s="32"/>
      <c r="I9" s="32"/>
      <c r="J9" s="30"/>
    </row>
    <row r="10" spans="1:12" x14ac:dyDescent="0.3">
      <c r="B10" s="31"/>
      <c r="C10" s="15">
        <v>2022</v>
      </c>
      <c r="D10" s="16"/>
      <c r="E10" s="9">
        <v>45523.06</v>
      </c>
    </row>
    <row r="12" spans="1:12" x14ac:dyDescent="0.3">
      <c r="A12" s="5" t="s">
        <v>11</v>
      </c>
      <c r="B12" t="s">
        <v>12</v>
      </c>
      <c r="C12" t="s">
        <v>13</v>
      </c>
      <c r="D12" t="s">
        <v>14</v>
      </c>
      <c r="E12" t="s">
        <v>15</v>
      </c>
      <c r="G12" t="s">
        <v>16</v>
      </c>
      <c r="H12" t="s">
        <v>14</v>
      </c>
      <c r="I12" t="s">
        <v>17</v>
      </c>
      <c r="J12" t="s">
        <v>18</v>
      </c>
    </row>
    <row r="13" spans="1:12" x14ac:dyDescent="0.3">
      <c r="B13" t="s">
        <v>19</v>
      </c>
      <c r="C13" s="6"/>
      <c r="D13" s="6"/>
      <c r="E13" s="6">
        <v>12000</v>
      </c>
      <c r="H13" s="6"/>
      <c r="I13" s="6"/>
      <c r="J13" s="6"/>
    </row>
    <row r="14" spans="1:12" x14ac:dyDescent="0.3">
      <c r="B14" t="s">
        <v>20</v>
      </c>
      <c r="C14" s="6"/>
      <c r="D14" s="6"/>
      <c r="E14" s="6">
        <v>12000</v>
      </c>
      <c r="G14" t="s">
        <v>21</v>
      </c>
      <c r="H14" s="6"/>
      <c r="I14" s="6"/>
      <c r="J14" s="6">
        <v>500</v>
      </c>
    </row>
    <row r="15" spans="1:12" x14ac:dyDescent="0.3">
      <c r="B15" t="s">
        <v>22</v>
      </c>
      <c r="C15" s="6"/>
      <c r="D15" s="6"/>
      <c r="E15" s="6">
        <v>9000</v>
      </c>
      <c r="G15" t="s">
        <v>23</v>
      </c>
      <c r="H15" s="6"/>
      <c r="I15" s="6"/>
      <c r="J15" s="6">
        <v>500</v>
      </c>
    </row>
    <row r="16" spans="1:12" x14ac:dyDescent="0.3">
      <c r="C16" s="6"/>
      <c r="D16" s="6"/>
      <c r="E16" s="6"/>
      <c r="G16" t="s">
        <v>24</v>
      </c>
      <c r="H16" s="6"/>
      <c r="I16" s="6"/>
      <c r="J16" s="6">
        <v>1000</v>
      </c>
    </row>
    <row r="17" spans="1:10" x14ac:dyDescent="0.3">
      <c r="C17" s="6"/>
      <c r="D17" s="6"/>
      <c r="E17" s="6">
        <f>Technique[[#This Row],[  ]]-Technique[[#This Row],[ ]]</f>
        <v>0</v>
      </c>
      <c r="G17" t="s">
        <v>25</v>
      </c>
      <c r="H17" s="6"/>
      <c r="I17" s="6"/>
      <c r="J17" s="6">
        <v>1000</v>
      </c>
    </row>
    <row r="18" spans="1:10" x14ac:dyDescent="0.3">
      <c r="C18" s="6"/>
      <c r="D18" s="6"/>
      <c r="E18" s="6">
        <f>Technique[[#This Row],[  ]]-Technique[[#This Row],[ ]]</f>
        <v>0</v>
      </c>
      <c r="G18" t="s">
        <v>26</v>
      </c>
      <c r="H18" s="6"/>
      <c r="I18" s="6"/>
      <c r="J18" s="6">
        <v>500</v>
      </c>
    </row>
    <row r="19" spans="1:10" x14ac:dyDescent="0.3">
      <c r="C19" s="6"/>
      <c r="D19" s="6"/>
      <c r="E19" s="6">
        <f>Technique[[#This Row],[  ]]-Technique[[#This Row],[ ]]</f>
        <v>0</v>
      </c>
      <c r="G19" t="s">
        <v>27</v>
      </c>
      <c r="H19" s="6"/>
      <c r="I19" s="6"/>
      <c r="J19" s="6">
        <v>2500</v>
      </c>
    </row>
    <row r="20" spans="1:10" x14ac:dyDescent="0.3">
      <c r="C20" s="6"/>
      <c r="D20" s="6"/>
      <c r="E20" s="6">
        <f>Technique[[#This Row],[  ]]-Technique[[#This Row],[ ]]</f>
        <v>0</v>
      </c>
      <c r="G20" t="s">
        <v>28</v>
      </c>
      <c r="H20" s="6"/>
      <c r="I20" s="6"/>
      <c r="J20" s="6">
        <v>3500</v>
      </c>
    </row>
    <row r="21" spans="1:10" x14ac:dyDescent="0.3">
      <c r="C21" s="6"/>
      <c r="D21" s="6"/>
      <c r="E21" s="6">
        <f>Technique[[#This Row],[  ]]-Technique[[#This Row],[ ]]</f>
        <v>0</v>
      </c>
      <c r="G21" t="s">
        <v>29</v>
      </c>
      <c r="H21" s="6"/>
      <c r="I21" s="6"/>
      <c r="J21" s="6">
        <v>500</v>
      </c>
    </row>
    <row r="22" spans="1:10" x14ac:dyDescent="0.3">
      <c r="C22" s="6"/>
      <c r="D22" s="6"/>
      <c r="E22" s="6">
        <f>Technique[[#This Row],[  ]]-Technique[[#This Row],[ ]]</f>
        <v>0</v>
      </c>
      <c r="G22" t="s">
        <v>30</v>
      </c>
      <c r="H22" s="6"/>
      <c r="I22" s="6"/>
      <c r="J22" s="6">
        <f>SUM(Subventions[Recettes])</f>
        <v>10000</v>
      </c>
    </row>
    <row r="23" spans="1:10" x14ac:dyDescent="0.3">
      <c r="B23" t="s">
        <v>30</v>
      </c>
      <c r="C23" s="6"/>
      <c r="D23" s="6"/>
      <c r="E23" s="6">
        <f>SUM(Technique[Dépenses])</f>
        <v>33000</v>
      </c>
      <c r="G23" s="29"/>
      <c r="H23" s="29"/>
      <c r="I23" s="29"/>
      <c r="J23" s="29"/>
    </row>
    <row r="24" spans="1:10" x14ac:dyDescent="0.3">
      <c r="B24" s="29"/>
      <c r="C24" s="29"/>
      <c r="D24" s="29"/>
      <c r="E24" s="29"/>
      <c r="G24" t="s">
        <v>31</v>
      </c>
      <c r="H24" t="s">
        <v>14</v>
      </c>
      <c r="I24" t="s">
        <v>13</v>
      </c>
      <c r="J24" t="s">
        <v>18</v>
      </c>
    </row>
    <row r="25" spans="1:10" x14ac:dyDescent="0.3">
      <c r="A25" s="5" t="s">
        <v>32</v>
      </c>
      <c r="B25" t="s">
        <v>33</v>
      </c>
      <c r="C25" t="s">
        <v>14</v>
      </c>
      <c r="D25" t="s">
        <v>13</v>
      </c>
      <c r="E25" t="s">
        <v>15</v>
      </c>
      <c r="G25" t="s">
        <v>79</v>
      </c>
      <c r="H25" s="6"/>
      <c r="I25" s="6"/>
      <c r="J25" s="6">
        <v>4000</v>
      </c>
    </row>
    <row r="26" spans="1:10" x14ac:dyDescent="0.3">
      <c r="B26" s="12" t="s">
        <v>34</v>
      </c>
      <c r="C26" s="13"/>
      <c r="D26" s="13"/>
      <c r="E26" s="14">
        <f>SUM(E27:E33)</f>
        <v>1532.748</v>
      </c>
      <c r="G26" t="s">
        <v>80</v>
      </c>
      <c r="H26" s="6"/>
      <c r="I26" s="6"/>
      <c r="J26" s="6">
        <v>1500</v>
      </c>
    </row>
    <row r="27" spans="1:10" x14ac:dyDescent="0.3">
      <c r="B27" t="s">
        <v>35</v>
      </c>
      <c r="C27" s="11"/>
      <c r="D27" s="11"/>
      <c r="E27" s="6">
        <f>141.23*1.2</f>
        <v>169.47599999999997</v>
      </c>
      <c r="G27" t="s">
        <v>81</v>
      </c>
      <c r="H27" s="6"/>
      <c r="I27" s="6"/>
      <c r="J27" s="6">
        <v>800</v>
      </c>
    </row>
    <row r="28" spans="1:10" x14ac:dyDescent="0.3">
      <c r="B28" t="s">
        <v>36</v>
      </c>
      <c r="C28" s="11"/>
      <c r="D28" s="11"/>
      <c r="E28" s="6">
        <f>109.58*1.2</f>
        <v>131.49599999999998</v>
      </c>
      <c r="G28" t="s">
        <v>37</v>
      </c>
      <c r="H28" s="6"/>
      <c r="I28" s="6"/>
      <c r="J28" s="6">
        <v>500</v>
      </c>
    </row>
    <row r="29" spans="1:10" x14ac:dyDescent="0.3">
      <c r="B29" t="s">
        <v>38</v>
      </c>
      <c r="C29" s="11"/>
      <c r="D29" s="11"/>
      <c r="E29" s="6">
        <f>116.7*1.2</f>
        <v>140.04</v>
      </c>
      <c r="G29" t="s">
        <v>39</v>
      </c>
      <c r="H29" s="6"/>
      <c r="I29" s="6"/>
      <c r="J29" s="6">
        <v>600</v>
      </c>
    </row>
    <row r="30" spans="1:10" x14ac:dyDescent="0.3">
      <c r="B30" t="s">
        <v>40</v>
      </c>
      <c r="C30" s="11"/>
      <c r="D30" s="11"/>
      <c r="E30" s="6">
        <f>291.68*1.2</f>
        <v>350.01600000000002</v>
      </c>
      <c r="H30" s="6"/>
      <c r="I30" s="6"/>
      <c r="J30" s="6">
        <f>Partenariats[[#This Row],[ ]]-Partenariats[[#This Row],[  ]]</f>
        <v>0</v>
      </c>
    </row>
    <row r="31" spans="1:10" x14ac:dyDescent="0.3">
      <c r="B31" t="s">
        <v>41</v>
      </c>
      <c r="C31" s="11"/>
      <c r="D31" s="11"/>
      <c r="E31" s="6">
        <f>247.8*1.2</f>
        <v>297.36</v>
      </c>
      <c r="G31" t="s">
        <v>30</v>
      </c>
      <c r="H31" s="6"/>
      <c r="I31" s="6"/>
      <c r="J31" s="6">
        <f>SUM(Partenariats[Recettes])</f>
        <v>7400</v>
      </c>
    </row>
    <row r="32" spans="1:10" x14ac:dyDescent="0.3">
      <c r="B32" t="s">
        <v>42</v>
      </c>
      <c r="C32" s="11"/>
      <c r="D32" s="11"/>
      <c r="E32" s="6">
        <f>240.6*1.2</f>
        <v>288.71999999999997</v>
      </c>
      <c r="H32" s="6"/>
      <c r="I32" s="6"/>
      <c r="J32" s="6"/>
    </row>
    <row r="33" spans="1:10" x14ac:dyDescent="0.3">
      <c r="B33" t="s">
        <v>43</v>
      </c>
      <c r="C33" s="11"/>
      <c r="D33" s="11"/>
      <c r="E33" s="6">
        <f>129.7*1.2</f>
        <v>155.63999999999999</v>
      </c>
      <c r="G33" t="s">
        <v>44</v>
      </c>
      <c r="H33" t="s">
        <v>14</v>
      </c>
      <c r="I33" t="s">
        <v>13</v>
      </c>
      <c r="J33" t="s">
        <v>18</v>
      </c>
    </row>
    <row r="34" spans="1:10" x14ac:dyDescent="0.3">
      <c r="B34" s="12" t="s">
        <v>45</v>
      </c>
      <c r="C34" s="12"/>
      <c r="D34" s="13"/>
      <c r="E34" s="14">
        <f>SUM(E35:E38)</f>
        <v>100</v>
      </c>
      <c r="G34" t="s">
        <v>94</v>
      </c>
      <c r="H34" s="6"/>
      <c r="I34" s="6"/>
      <c r="J34" s="6">
        <f>160*7*20</f>
        <v>22400</v>
      </c>
    </row>
    <row r="35" spans="1:10" x14ac:dyDescent="0.3">
      <c r="B35" t="s">
        <v>46</v>
      </c>
      <c r="C35" s="11"/>
      <c r="D35" s="11"/>
      <c r="E35" s="6">
        <v>100</v>
      </c>
      <c r="G35" t="s">
        <v>47</v>
      </c>
      <c r="H35" s="6"/>
      <c r="I35" s="6"/>
      <c r="J35" s="6">
        <f>5*7*20</f>
        <v>700</v>
      </c>
    </row>
    <row r="36" spans="1:10" x14ac:dyDescent="0.3">
      <c r="C36" s="11"/>
      <c r="D36" s="11"/>
      <c r="E36" s="6">
        <f>Communication[[#This Row],[ ]]-Communication[[#This Row],[  ]]</f>
        <v>0</v>
      </c>
      <c r="H36" s="6"/>
      <c r="I36" s="6"/>
      <c r="J36" s="6"/>
    </row>
    <row r="37" spans="1:10" x14ac:dyDescent="0.3">
      <c r="C37" s="11"/>
      <c r="D37" s="11"/>
      <c r="E37" s="6">
        <f>Communication[[#This Row],[ ]]-Communication[[#This Row],[  ]]</f>
        <v>0</v>
      </c>
      <c r="H37" s="6"/>
      <c r="I37" s="6"/>
      <c r="J37" s="6"/>
    </row>
    <row r="38" spans="1:10" x14ac:dyDescent="0.3">
      <c r="C38" s="11"/>
      <c r="D38" s="11"/>
      <c r="E38" s="6">
        <f>Communication[[#This Row],[ ]]-Communication[[#This Row],[  ]]</f>
        <v>0</v>
      </c>
      <c r="G38" t="s">
        <v>30</v>
      </c>
      <c r="H38" s="6"/>
      <c r="I38" s="6"/>
      <c r="J38" s="6">
        <f>SUBTOTAL(109,Billetterie[Recettes])</f>
        <v>23100</v>
      </c>
    </row>
    <row r="39" spans="1:10" x14ac:dyDescent="0.3">
      <c r="B39" s="12" t="s">
        <v>48</v>
      </c>
      <c r="C39" s="12"/>
      <c r="D39" s="13"/>
      <c r="E39" s="14">
        <f>SUM(E40:E42)</f>
        <v>820</v>
      </c>
      <c r="G39" s="10"/>
      <c r="H39" s="10"/>
      <c r="I39" s="10"/>
      <c r="J39" s="10"/>
    </row>
    <row r="40" spans="1:10" x14ac:dyDescent="0.3">
      <c r="B40" t="s">
        <v>49</v>
      </c>
      <c r="C40" s="11"/>
      <c r="D40" s="11"/>
      <c r="E40" s="6">
        <v>600</v>
      </c>
      <c r="G40" t="s">
        <v>50</v>
      </c>
      <c r="H40" t="s">
        <v>14</v>
      </c>
      <c r="I40" t="s">
        <v>13</v>
      </c>
      <c r="J40" t="s">
        <v>18</v>
      </c>
    </row>
    <row r="41" spans="1:10" x14ac:dyDescent="0.3">
      <c r="B41" t="s">
        <v>51</v>
      </c>
      <c r="C41" s="11"/>
      <c r="D41" s="11"/>
      <c r="E41" s="6">
        <v>220</v>
      </c>
      <c r="G41" t="s">
        <v>92</v>
      </c>
      <c r="H41" s="6"/>
      <c r="I41" s="6"/>
      <c r="J41" s="6">
        <v>13150</v>
      </c>
    </row>
    <row r="42" spans="1:10" x14ac:dyDescent="0.3">
      <c r="C42" s="11"/>
      <c r="D42" s="11"/>
      <c r="E42" s="6">
        <f>Communication[[#This Row],[ ]]-Communication[[#This Row],[  ]]</f>
        <v>0</v>
      </c>
      <c r="H42" s="6"/>
      <c r="I42" s="6"/>
      <c r="J42" s="6"/>
    </row>
    <row r="43" spans="1:10" x14ac:dyDescent="0.3">
      <c r="C43" s="6"/>
      <c r="D43" s="6"/>
      <c r="E43" s="6">
        <f>Communication[[#This Row],[ ]]-Communication[[#This Row],[  ]]</f>
        <v>0</v>
      </c>
      <c r="H43" s="6"/>
      <c r="I43" s="6"/>
      <c r="J43" s="6"/>
    </row>
    <row r="44" spans="1:10" x14ac:dyDescent="0.3">
      <c r="B44" t="s">
        <v>30</v>
      </c>
      <c r="C44" s="6"/>
      <c r="D44" s="6"/>
      <c r="E44" s="6">
        <f>E26+E34+E39</f>
        <v>2452.748</v>
      </c>
      <c r="G44" t="s">
        <v>30</v>
      </c>
      <c r="H44" s="6"/>
      <c r="I44" s="6"/>
      <c r="J44" s="6">
        <f>SUBTOTAL(109,Bar[Recettes])</f>
        <v>13150</v>
      </c>
    </row>
    <row r="45" spans="1:10" x14ac:dyDescent="0.3">
      <c r="B45" s="29"/>
      <c r="C45" s="29"/>
      <c r="D45" s="29"/>
      <c r="E45" s="29"/>
      <c r="G45" s="10"/>
      <c r="H45" s="10"/>
      <c r="I45" s="10"/>
      <c r="J45" s="10"/>
    </row>
    <row r="46" spans="1:10" x14ac:dyDescent="0.3">
      <c r="A46" s="5" t="s">
        <v>52</v>
      </c>
      <c r="B46" t="s">
        <v>53</v>
      </c>
      <c r="C46" t="s">
        <v>14</v>
      </c>
      <c r="D46" t="s">
        <v>13</v>
      </c>
      <c r="E46" t="s">
        <v>15</v>
      </c>
    </row>
    <row r="47" spans="1:10" x14ac:dyDescent="0.3">
      <c r="B47" t="s">
        <v>54</v>
      </c>
      <c r="C47" s="6"/>
      <c r="D47" s="6"/>
      <c r="E47" s="6">
        <v>300</v>
      </c>
    </row>
    <row r="48" spans="1:10" x14ac:dyDescent="0.3">
      <c r="B48" t="s">
        <v>56</v>
      </c>
      <c r="C48" s="6"/>
      <c r="D48" s="6"/>
      <c r="E48" s="6">
        <v>100</v>
      </c>
    </row>
    <row r="49" spans="1:11" x14ac:dyDescent="0.3">
      <c r="B49" t="s">
        <v>57</v>
      </c>
      <c r="C49" s="6"/>
      <c r="D49" s="6"/>
      <c r="E49" s="6">
        <v>50</v>
      </c>
    </row>
    <row r="50" spans="1:11" x14ac:dyDescent="0.3">
      <c r="B50" t="s">
        <v>59</v>
      </c>
      <c r="C50" s="6"/>
      <c r="D50" s="6"/>
      <c r="E50" s="6">
        <v>107.25</v>
      </c>
    </row>
    <row r="51" spans="1:11" ht="13.8" customHeight="1" x14ac:dyDescent="0.3">
      <c r="B51" t="s">
        <v>95</v>
      </c>
      <c r="C51" s="6"/>
      <c r="D51" s="6"/>
      <c r="E51" s="6">
        <v>1000</v>
      </c>
    </row>
    <row r="52" spans="1:11" ht="13.8" customHeight="1" x14ac:dyDescent="0.3">
      <c r="B52" t="s">
        <v>30</v>
      </c>
      <c r="C52" s="6"/>
      <c r="D52" s="6"/>
      <c r="E52" s="6">
        <f>SUM(Artistique[Dépenses])</f>
        <v>1557.25</v>
      </c>
    </row>
    <row r="53" spans="1:11" x14ac:dyDescent="0.3">
      <c r="B53" s="29"/>
      <c r="C53" s="29"/>
      <c r="D53" s="29"/>
      <c r="E53" s="29"/>
    </row>
    <row r="54" spans="1:11" x14ac:dyDescent="0.3">
      <c r="A54" s="5" t="s">
        <v>60</v>
      </c>
      <c r="B54" t="s">
        <v>61</v>
      </c>
      <c r="C54" t="s">
        <v>14</v>
      </c>
      <c r="D54" t="s">
        <v>13</v>
      </c>
      <c r="E54" t="s">
        <v>15</v>
      </c>
    </row>
    <row r="55" spans="1:11" x14ac:dyDescent="0.3">
      <c r="B55" t="s">
        <v>62</v>
      </c>
      <c r="C55" s="6"/>
      <c r="D55" s="6"/>
      <c r="E55" s="6">
        <f>70*2</f>
        <v>140</v>
      </c>
      <c r="H55" s="6"/>
      <c r="I55" s="6"/>
      <c r="J55" s="6"/>
      <c r="K55" s="11"/>
    </row>
    <row r="56" spans="1:11" x14ac:dyDescent="0.3">
      <c r="B56" t="s">
        <v>63</v>
      </c>
      <c r="C56" s="6"/>
      <c r="D56" s="6"/>
      <c r="E56" s="6">
        <v>4000</v>
      </c>
      <c r="H56" s="6"/>
      <c r="I56" s="6"/>
      <c r="J56" s="6"/>
      <c r="K56" s="11"/>
    </row>
    <row r="57" spans="1:11" x14ac:dyDescent="0.3">
      <c r="B57" t="s">
        <v>64</v>
      </c>
      <c r="C57" s="6"/>
      <c r="D57" s="6"/>
      <c r="E57" s="6">
        <v>50</v>
      </c>
      <c r="H57" s="6"/>
      <c r="I57" s="6"/>
      <c r="J57" s="6"/>
      <c r="K57" s="11"/>
    </row>
    <row r="58" spans="1:11" x14ac:dyDescent="0.3">
      <c r="B58" t="s">
        <v>30</v>
      </c>
      <c r="C58" s="6"/>
      <c r="D58" s="6"/>
      <c r="E58" s="6">
        <f>SUBTOTAL(109,Taxes[Dépenses])</f>
        <v>4190</v>
      </c>
      <c r="H58" s="6"/>
      <c r="I58" s="6"/>
      <c r="J58" s="6"/>
      <c r="K58" s="11"/>
    </row>
    <row r="59" spans="1:11" x14ac:dyDescent="0.3">
      <c r="B59" s="29"/>
      <c r="C59" s="29"/>
      <c r="D59" s="29"/>
      <c r="E59" s="29"/>
      <c r="H59" s="6"/>
      <c r="I59" s="6"/>
      <c r="J59" s="6"/>
    </row>
    <row r="60" spans="1:11" x14ac:dyDescent="0.3">
      <c r="A60" s="5" t="s">
        <v>65</v>
      </c>
      <c r="B60" t="s">
        <v>50</v>
      </c>
      <c r="C60" t="s">
        <v>13</v>
      </c>
      <c r="D60" t="s">
        <v>14</v>
      </c>
      <c r="E60" t="s">
        <v>15</v>
      </c>
    </row>
    <row r="61" spans="1:11" x14ac:dyDescent="0.3">
      <c r="B61" t="s">
        <v>66</v>
      </c>
      <c r="C61" s="6"/>
      <c r="D61" s="6"/>
      <c r="E61" s="6">
        <v>4500</v>
      </c>
    </row>
    <row r="62" spans="1:11" x14ac:dyDescent="0.3">
      <c r="B62" t="s">
        <v>67</v>
      </c>
      <c r="C62" s="6"/>
      <c r="D62" s="6"/>
      <c r="E62" s="6">
        <v>3500</v>
      </c>
    </row>
    <row r="63" spans="1:11" x14ac:dyDescent="0.3">
      <c r="B63" t="s">
        <v>68</v>
      </c>
      <c r="C63" s="6"/>
      <c r="D63" s="6"/>
      <c r="E63" s="6">
        <f>Buvettes[[#This Row],[  ]]-Buvettes[[#This Row],[ ]]</f>
        <v>0</v>
      </c>
    </row>
    <row r="64" spans="1:11" x14ac:dyDescent="0.3">
      <c r="B64" t="s">
        <v>30</v>
      </c>
      <c r="C64" s="6"/>
      <c r="D64" s="6"/>
      <c r="E64" s="6">
        <f>SUBTOTAL(109,Buvettes[Dépenses])</f>
        <v>8000</v>
      </c>
    </row>
    <row r="65" spans="1:5" x14ac:dyDescent="0.3">
      <c r="B65" s="29"/>
      <c r="C65" s="29"/>
      <c r="D65" s="29"/>
      <c r="E65" s="29"/>
    </row>
    <row r="66" spans="1:5" x14ac:dyDescent="0.3">
      <c r="A66" s="5" t="s">
        <v>69</v>
      </c>
      <c r="B66" t="s">
        <v>70</v>
      </c>
      <c r="C66" t="s">
        <v>13</v>
      </c>
      <c r="D66" t="s">
        <v>14</v>
      </c>
      <c r="E66" t="s">
        <v>15</v>
      </c>
    </row>
    <row r="67" spans="1:5" x14ac:dyDescent="0.3">
      <c r="B67" t="s">
        <v>71</v>
      </c>
      <c r="C67" s="6"/>
      <c r="D67" s="6"/>
      <c r="E67" s="6">
        <v>1500</v>
      </c>
    </row>
    <row r="68" spans="1:5" x14ac:dyDescent="0.3">
      <c r="B68" t="s">
        <v>72</v>
      </c>
      <c r="C68" s="6"/>
      <c r="D68" s="6"/>
      <c r="E68" s="6">
        <v>1200</v>
      </c>
    </row>
    <row r="69" spans="1:5" x14ac:dyDescent="0.3">
      <c r="B69" t="s">
        <v>73</v>
      </c>
      <c r="C69" s="6"/>
      <c r="D69" s="6"/>
      <c r="E69" s="6">
        <f>450+200</f>
        <v>650</v>
      </c>
    </row>
    <row r="70" spans="1:5" x14ac:dyDescent="0.3">
      <c r="B70" t="s">
        <v>74</v>
      </c>
      <c r="C70" s="6"/>
      <c r="D70" s="6"/>
      <c r="E70" s="6">
        <v>200</v>
      </c>
    </row>
    <row r="71" spans="1:5" x14ac:dyDescent="0.3">
      <c r="C71" s="11"/>
      <c r="D71" s="11"/>
      <c r="E71" s="6"/>
    </row>
    <row r="72" spans="1:5" x14ac:dyDescent="0.3">
      <c r="B72" t="s">
        <v>75</v>
      </c>
      <c r="C72" s="11"/>
      <c r="D72" s="11"/>
      <c r="E72" s="6">
        <v>300</v>
      </c>
    </row>
    <row r="73" spans="1:5" x14ac:dyDescent="0.3">
      <c r="B73" t="s">
        <v>76</v>
      </c>
      <c r="C73" s="11"/>
      <c r="D73" s="11"/>
      <c r="E73" s="6">
        <v>300</v>
      </c>
    </row>
    <row r="74" spans="1:5" x14ac:dyDescent="0.3">
      <c r="B74" t="s">
        <v>77</v>
      </c>
      <c r="C74" s="11"/>
      <c r="D74" s="11"/>
      <c r="E74" s="6">
        <v>50</v>
      </c>
    </row>
    <row r="75" spans="1:5" x14ac:dyDescent="0.3">
      <c r="B75" t="s">
        <v>78</v>
      </c>
      <c r="C75" s="11"/>
      <c r="D75" s="11"/>
      <c r="E75" s="6">
        <v>250</v>
      </c>
    </row>
    <row r="76" spans="1:5" x14ac:dyDescent="0.3">
      <c r="C76" s="11"/>
      <c r="D76" s="11"/>
      <c r="E76" s="6"/>
    </row>
    <row r="77" spans="1:5" x14ac:dyDescent="0.3">
      <c r="C77" s="11"/>
      <c r="D77" s="11"/>
      <c r="E77" s="6"/>
    </row>
    <row r="78" spans="1:5" x14ac:dyDescent="0.3">
      <c r="B78" t="s">
        <v>30</v>
      </c>
      <c r="C78" s="6"/>
      <c r="D78" s="6"/>
      <c r="E78" s="6">
        <f>SUM(Logistique[Dépenses])</f>
        <v>4450</v>
      </c>
    </row>
    <row r="81" spans="2:13" x14ac:dyDescent="0.3">
      <c r="B81" s="21" t="s">
        <v>55</v>
      </c>
      <c r="C81" s="21"/>
      <c r="D81" s="21"/>
      <c r="E81" s="22">
        <f>Technique[[#Totals],[Dépenses]]+Communication[[#Totals],[Dépenses]]+Artistique[[#Totals],[Dépenses]]+Taxes[[#Totals],[Dépenses]]+Buvettes[[#Totals],[Dépenses]]+Logistique[[#Totals],[Dépenses]]</f>
        <v>53649.998</v>
      </c>
      <c r="G81" s="21" t="s">
        <v>58</v>
      </c>
      <c r="H81" s="23"/>
      <c r="I81" s="24"/>
      <c r="J81" s="22">
        <f>Subventions[[#Totals],[Recettes]]+Partenariats[[#Totals],[Recettes]]+Billetterie[[#Totals],[Recettes]]+Bar[[#Totals],[Recettes]]</f>
        <v>53650</v>
      </c>
      <c r="M81" s="19"/>
    </row>
    <row r="82" spans="2:13" x14ac:dyDescent="0.3">
      <c r="B82" s="21"/>
      <c r="C82" s="21"/>
      <c r="D82" s="21"/>
      <c r="E82" s="22"/>
      <c r="G82" s="25"/>
      <c r="H82" s="26"/>
      <c r="I82" s="27"/>
      <c r="J82" s="28"/>
    </row>
    <row r="85" spans="2:13" x14ac:dyDescent="0.3">
      <c r="B85" t="s">
        <v>82</v>
      </c>
      <c r="C85" t="s">
        <v>13</v>
      </c>
      <c r="D85" t="s">
        <v>14</v>
      </c>
      <c r="E85" t="s">
        <v>83</v>
      </c>
      <c r="G85" t="s">
        <v>82</v>
      </c>
      <c r="H85" t="s">
        <v>13</v>
      </c>
      <c r="I85" t="s">
        <v>14</v>
      </c>
      <c r="J85" t="s">
        <v>83</v>
      </c>
    </row>
    <row r="86" spans="2:13" x14ac:dyDescent="0.3">
      <c r="B86" t="s">
        <v>84</v>
      </c>
      <c r="C86" s="6"/>
      <c r="D86" s="6"/>
      <c r="E86" s="6">
        <f>(27*7*5*20)+(27*50*2*15.5)</f>
        <v>60750</v>
      </c>
      <c r="G86" t="s">
        <v>84</v>
      </c>
      <c r="H86" s="6"/>
      <c r="I86" s="6"/>
      <c r="J86" s="6">
        <f>Valorisation[[#This Row],[Equivalent]]</f>
        <v>60750</v>
      </c>
    </row>
    <row r="87" spans="2:13" x14ac:dyDescent="0.3">
      <c r="B87" t="s">
        <v>85</v>
      </c>
      <c r="C87" s="6"/>
      <c r="D87" s="6"/>
      <c r="E87" s="6">
        <f>(30*7*5*12.5)</f>
        <v>13125</v>
      </c>
      <c r="G87" t="s">
        <v>85</v>
      </c>
      <c r="H87" s="6"/>
      <c r="I87" s="6"/>
      <c r="J87" s="6">
        <f>Valorisation[[#This Row],[Equivalent]]</f>
        <v>13125</v>
      </c>
    </row>
    <row r="88" spans="2:13" x14ac:dyDescent="0.3">
      <c r="C88" s="6"/>
      <c r="D88" s="6"/>
      <c r="E88" s="6"/>
      <c r="H88" s="6"/>
      <c r="I88" s="6"/>
      <c r="J88" s="6"/>
    </row>
    <row r="89" spans="2:13" x14ac:dyDescent="0.3">
      <c r="B89" t="s">
        <v>30</v>
      </c>
      <c r="C89" s="6"/>
      <c r="D89" s="6"/>
      <c r="E89" s="6">
        <f>SUBTOTAL(109,Valorisation[Equivalent])</f>
        <v>73875</v>
      </c>
      <c r="G89" t="s">
        <v>30</v>
      </c>
      <c r="H89" s="6"/>
      <c r="I89" s="6"/>
      <c r="J89" s="6">
        <f>SUBTOTAL(109,Bénévolat[Equivalent])</f>
        <v>73875</v>
      </c>
    </row>
    <row r="90" spans="2:13" x14ac:dyDescent="0.3">
      <c r="B90" t="s">
        <v>86</v>
      </c>
      <c r="C90" t="s">
        <v>13</v>
      </c>
      <c r="D90" t="s">
        <v>14</v>
      </c>
      <c r="E90" t="s">
        <v>83</v>
      </c>
      <c r="G90" t="s">
        <v>86</v>
      </c>
      <c r="H90" t="s">
        <v>13</v>
      </c>
      <c r="I90" t="s">
        <v>14</v>
      </c>
      <c r="J90" t="s">
        <v>83</v>
      </c>
    </row>
    <row r="91" spans="2:13" x14ac:dyDescent="0.3">
      <c r="B91" t="s">
        <v>87</v>
      </c>
      <c r="C91" s="6"/>
      <c r="D91" s="6"/>
      <c r="E91" s="6">
        <v>1000</v>
      </c>
      <c r="G91" t="s">
        <v>87</v>
      </c>
      <c r="H91" s="6"/>
      <c r="I91" s="6"/>
      <c r="J91" s="6">
        <f>Dispo[[#This Row],[Equivalent]]</f>
        <v>1000</v>
      </c>
    </row>
    <row r="92" spans="2:13" x14ac:dyDescent="0.3">
      <c r="B92" t="s">
        <v>90</v>
      </c>
      <c r="C92" s="6"/>
      <c r="D92" s="6"/>
      <c r="E92" s="6">
        <v>400</v>
      </c>
      <c r="G92" t="str">
        <f>Dispo[[#This Row],[Mise à disposition]]</f>
        <v>Mise à disposition SDF Charquemont</v>
      </c>
      <c r="H92" s="6"/>
      <c r="I92" s="6"/>
      <c r="J92" s="6">
        <f>Dispo[[#This Row],[Equivalent]]</f>
        <v>400</v>
      </c>
    </row>
    <row r="93" spans="2:13" x14ac:dyDescent="0.3">
      <c r="B93" t="s">
        <v>91</v>
      </c>
      <c r="C93" s="6"/>
      <c r="D93" s="6"/>
      <c r="E93" s="6">
        <f>50*45</f>
        <v>2250</v>
      </c>
      <c r="G93" t="str">
        <f>Dispo[[#This Row],[Mise à disposition]]</f>
        <v>Mise à disposition Salle de répétition Charquemont</v>
      </c>
      <c r="H93" s="6"/>
      <c r="I93" s="6"/>
      <c r="J93" s="6">
        <f>Dispo[[#This Row],[Equivalent]]</f>
        <v>2250</v>
      </c>
    </row>
    <row r="94" spans="2:13" x14ac:dyDescent="0.3">
      <c r="B94" t="s">
        <v>93</v>
      </c>
      <c r="C94" s="11"/>
      <c r="D94" s="11"/>
      <c r="E94" s="20">
        <v>2000</v>
      </c>
      <c r="G94" t="str">
        <f>Dispo[[#This Row],[Mise à disposition]]</f>
        <v>Mise à disposition de matériels techniques, RH, etc.</v>
      </c>
      <c r="H94" s="11"/>
      <c r="I94" s="11"/>
      <c r="J94" s="6">
        <f>Dispo[[#This Row],[Equivalent]]</f>
        <v>2000</v>
      </c>
    </row>
    <row r="95" spans="2:13" x14ac:dyDescent="0.3">
      <c r="B95" t="s">
        <v>30</v>
      </c>
      <c r="C95" s="6"/>
      <c r="D95" s="6"/>
      <c r="E95" s="6">
        <f>SUBTOTAL(109,Dispo[Equivalent])</f>
        <v>5650</v>
      </c>
      <c r="G95" t="s">
        <v>30</v>
      </c>
      <c r="H95" s="6"/>
      <c r="I95" s="6"/>
      <c r="J95" s="6">
        <f>SUBTOTAL(109,Mise[Equivalent])</f>
        <v>5650</v>
      </c>
    </row>
    <row r="98" spans="2:10" x14ac:dyDescent="0.3">
      <c r="B98" s="21" t="s">
        <v>88</v>
      </c>
      <c r="C98" s="21"/>
      <c r="D98" s="21"/>
      <c r="E98" s="22">
        <f>E81+Valorisation[[#Totals],[Equivalent]]+Dispo[[#Totals],[Equivalent]]</f>
        <v>133174.99799999999</v>
      </c>
      <c r="G98" s="21" t="s">
        <v>89</v>
      </c>
      <c r="H98" s="23"/>
      <c r="I98" s="24"/>
      <c r="J98" s="22">
        <f>J81+Bénévolat[[#Totals],[Equivalent]]+Mise[[#Totals],[Equivalent]]</f>
        <v>133175</v>
      </c>
    </row>
    <row r="99" spans="2:10" x14ac:dyDescent="0.3">
      <c r="B99" s="21"/>
      <c r="C99" s="21"/>
      <c r="D99" s="21"/>
      <c r="E99" s="22"/>
      <c r="G99" s="25"/>
      <c r="H99" s="26"/>
      <c r="I99" s="27"/>
      <c r="J99" s="28"/>
    </row>
  </sheetData>
  <mergeCells count="22">
    <mergeCell ref="J8:J9"/>
    <mergeCell ref="J6:J7"/>
    <mergeCell ref="J4:J5"/>
    <mergeCell ref="G23:J23"/>
    <mergeCell ref="B8:B10"/>
    <mergeCell ref="B4:B6"/>
    <mergeCell ref="G8:I9"/>
    <mergeCell ref="G6:I7"/>
    <mergeCell ref="G4:I5"/>
    <mergeCell ref="B24:E24"/>
    <mergeCell ref="B45:E45"/>
    <mergeCell ref="B53:E53"/>
    <mergeCell ref="B59:E59"/>
    <mergeCell ref="B65:E65"/>
    <mergeCell ref="B98:D99"/>
    <mergeCell ref="E98:E99"/>
    <mergeCell ref="G98:I99"/>
    <mergeCell ref="J98:J99"/>
    <mergeCell ref="G81:I82"/>
    <mergeCell ref="J81:J82"/>
    <mergeCell ref="B81:D82"/>
    <mergeCell ref="E81:E82"/>
  </mergeCells>
  <phoneticPr fontId="23" alignment="center"/>
  <printOptions horizontalCentered="1"/>
  <pageMargins left="0.4" right="0.4" top="0.4" bottom="0.4" header="0.3" footer="0.3"/>
  <pageSetup paperSize="9" fitToHeight="0" orientation="portrait" r:id="rId1"/>
  <headerFooter differentFirst="1">
    <oddFooter>Page &amp;P of &amp;N</oddFooter>
  </headerFooter>
  <ignoredErrors>
    <ignoredError sqref="J30 E63" emptyCellReference="1"/>
    <ignoredError sqref="J14:J21 J25:J29 J34:J35 E13 E26:E42 E61:E62 E55:E57 E67:E75 E86:E87 E14:E15 E91:E94 J86:J87 J41" calculatedColumn="1"/>
    <ignoredError sqref="E43" emptyCellReference="1" calculatedColumn="1"/>
  </ignoredErrors>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78602c4-37ba-4860-a8ad-40639689d5e0">
      <Terms xmlns="http://schemas.microsoft.com/office/infopath/2007/PartnerControls"/>
    </lcf76f155ced4ddcb4097134ff3c332f>
    <TaxCatchAll xmlns="a21fa2c1-ad60-4358-bf66-7fed61a6da4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2B262343B818945A028F667C1EDBD6E" ma:contentTypeVersion="13" ma:contentTypeDescription="Crée un document." ma:contentTypeScope="" ma:versionID="3f894cc0e50b32aea4c1a167e7b6b2d5">
  <xsd:schema xmlns:xsd="http://www.w3.org/2001/XMLSchema" xmlns:xs="http://www.w3.org/2001/XMLSchema" xmlns:p="http://schemas.microsoft.com/office/2006/metadata/properties" xmlns:ns2="d78602c4-37ba-4860-a8ad-40639689d5e0" xmlns:ns3="a21fa2c1-ad60-4358-bf66-7fed61a6da48" targetNamespace="http://schemas.microsoft.com/office/2006/metadata/properties" ma:root="true" ma:fieldsID="2365018df5a1f76200562d79b71f8627" ns2:_="" ns3:_="">
    <xsd:import namespace="d78602c4-37ba-4860-a8ad-40639689d5e0"/>
    <xsd:import namespace="a21fa2c1-ad60-4358-bf66-7fed61a6da48"/>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602c4-37ba-4860-a8ad-40639689d5e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alises d’images" ma:readOnly="false" ma:fieldId="{5cf76f15-5ced-4ddc-b409-7134ff3c332f}" ma:taxonomyMulti="true" ma:sspId="3ee60cab-f868-450f-b135-d5165170d076"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1fa2c1-ad60-4358-bf66-7fed61a6da4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1ac627c-ee30-4108-9923-99a2299966b6}" ma:internalName="TaxCatchAll" ma:showField="CatchAllData" ma:web="a21fa2c1-ad60-4358-bf66-7fed61a6da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A5A1F9-8974-42FC-B7CC-E2962D3C442D}">
  <ds:schemaRefs>
    <ds:schemaRef ds:uri="http://schemas.microsoft.com/office/2006/metadata/properties"/>
    <ds:schemaRef ds:uri="http://schemas.microsoft.com/office/infopath/2007/PartnerControls"/>
    <ds:schemaRef ds:uri="185d0966-6e3d-4b2b-a17d-87f3ae99fa58"/>
    <ds:schemaRef ds:uri="4a073dc1-f098-40b1-914f-9e85897bb9a3"/>
    <ds:schemaRef ds:uri="d78602c4-37ba-4860-a8ad-40639689d5e0"/>
    <ds:schemaRef ds:uri="a21fa2c1-ad60-4358-bf66-7fed61a6da48"/>
  </ds:schemaRefs>
</ds:datastoreItem>
</file>

<file path=customXml/itemProps2.xml><?xml version="1.0" encoding="utf-8"?>
<ds:datastoreItem xmlns:ds="http://schemas.openxmlformats.org/officeDocument/2006/customXml" ds:itemID="{0018233E-AA2B-490F-B9D0-C49C1F4C8998}">
  <ds:schemaRefs>
    <ds:schemaRef ds:uri="http://schemas.microsoft.com/sharepoint/v3/contenttype/forms"/>
  </ds:schemaRefs>
</ds:datastoreItem>
</file>

<file path=customXml/itemProps3.xml><?xml version="1.0" encoding="utf-8"?>
<ds:datastoreItem xmlns:ds="http://schemas.openxmlformats.org/officeDocument/2006/customXml" ds:itemID="{BDC0AC10-B688-485C-A73C-0FBF3306CD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BUDGET SUBV - PREV EQUILIBRE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Cléo Blanchot</cp:lastModifiedBy>
  <cp:revision/>
  <dcterms:created xsi:type="dcterms:W3CDTF">2018-05-30T12:18:28Z</dcterms:created>
  <dcterms:modified xsi:type="dcterms:W3CDTF">2025-01-27T22:06:46Z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0x01010012B262343B818945A028F667C1EDBD6E</vt:lpwstr>
  </property>
  <property fmtid="{D5CDD505-2E9C-101B-9397-08002B2CF9AE}" pid="3" name="MediaServiceImageTags">
    <vt:lpwstr/>
  </property>
</Properties>
</file>