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evaniafr.sharepoint.com/sites/commun/Documents partages/Commun/Technique cabaret choupette/"/>
    </mc:Choice>
  </mc:AlternateContent>
  <xr:revisionPtr revIDLastSave="6" documentId="13_ncr:1_{8257C2DC-0A42-4A78-88B9-4FA7FEC9D04C}" xr6:coauthVersionLast="47" xr6:coauthVersionMax="47" xr10:uidLastSave="{58AAACED-D64B-48AB-8307-067C82A89467}"/>
  <bookViews>
    <workbookView xWindow="-120" yWindow="-120" windowWidth="29040" windowHeight="17520" xr2:uid="{00000000-000D-0000-FFFF-FFFF00000000}"/>
  </bookViews>
  <sheets>
    <sheet name="Planning général" sheetId="2" r:id="rId1"/>
    <sheet name="Déroulé" sheetId="3" r:id="rId2"/>
    <sheet name="CHIFFRAGE GLOBAL" sheetId="8" r:id="rId3"/>
    <sheet name="CHIFFRAGE MAICHE WE1" sheetId="1" r:id="rId4"/>
    <sheet name="CHIFFRAGE MAICHE WE2" sheetId="6" r:id="rId5"/>
    <sheet name="CHIFFRAGE MORTEAU" sheetId="5" r:id="rId6"/>
    <sheet name="CHIFFRAGE RUSSEY WE4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8" l="1"/>
  <c r="K12" i="8"/>
  <c r="J14" i="8"/>
  <c r="I14" i="8"/>
  <c r="K14" i="8" s="1"/>
  <c r="J13" i="8"/>
  <c r="I13" i="8"/>
  <c r="K13" i="8" s="1"/>
  <c r="J11" i="8"/>
  <c r="I11" i="8"/>
  <c r="K11" i="8" s="1"/>
  <c r="K10" i="8" s="1"/>
  <c r="H10" i="8"/>
  <c r="H17" i="8"/>
  <c r="H2" i="8"/>
  <c r="N30" i="1"/>
  <c r="N31" i="1"/>
  <c r="N33" i="1"/>
  <c r="N29" i="1"/>
  <c r="M30" i="1"/>
  <c r="M31" i="1"/>
  <c r="M32" i="1"/>
  <c r="N32" i="1" s="1"/>
  <c r="M33" i="1"/>
  <c r="M29" i="1"/>
  <c r="G2" i="8"/>
  <c r="G10" i="8"/>
  <c r="E13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9" i="1"/>
  <c r="M21" i="1"/>
  <c r="M22" i="1"/>
  <c r="M23" i="1"/>
  <c r="M25" i="1"/>
  <c r="E38" i="1"/>
  <c r="M29" i="5"/>
  <c r="M30" i="5"/>
  <c r="M31" i="5"/>
  <c r="M32" i="5"/>
  <c r="M33" i="5"/>
  <c r="M34" i="5"/>
  <c r="M39" i="5"/>
  <c r="M38" i="5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M43" i="7"/>
  <c r="M42" i="7"/>
  <c r="M36" i="7"/>
  <c r="M35" i="7"/>
  <c r="M34" i="7"/>
  <c r="M33" i="7"/>
  <c r="M32" i="7"/>
  <c r="M31" i="7"/>
  <c r="E28" i="7"/>
  <c r="E27" i="7"/>
  <c r="E26" i="7"/>
  <c r="E25" i="7"/>
  <c r="M26" i="7"/>
  <c r="E24" i="7"/>
  <c r="M25" i="7"/>
  <c r="E23" i="7"/>
  <c r="M24" i="7"/>
  <c r="E22" i="7"/>
  <c r="M23" i="7"/>
  <c r="E21" i="7"/>
  <c r="M22" i="7"/>
  <c r="E20" i="7"/>
  <c r="M21" i="7"/>
  <c r="E19" i="7"/>
  <c r="M20" i="7"/>
  <c r="E18" i="7"/>
  <c r="M19" i="7"/>
  <c r="M18" i="7"/>
  <c r="M17" i="7"/>
  <c r="M16" i="7"/>
  <c r="E14" i="7"/>
  <c r="M15" i="7"/>
  <c r="E13" i="7"/>
  <c r="M14" i="7"/>
  <c r="E12" i="7"/>
  <c r="M13" i="7"/>
  <c r="E11" i="7"/>
  <c r="M12" i="7"/>
  <c r="E10" i="7"/>
  <c r="M11" i="7"/>
  <c r="E9" i="7"/>
  <c r="M10" i="7"/>
  <c r="E8" i="7"/>
  <c r="M9" i="7"/>
  <c r="E7" i="7"/>
  <c r="M8" i="7"/>
  <c r="E6" i="7"/>
  <c r="M7" i="7"/>
  <c r="E5" i="7"/>
  <c r="M6" i="7"/>
  <c r="M5" i="7"/>
  <c r="E45" i="6"/>
  <c r="E44" i="6"/>
  <c r="E43" i="6"/>
  <c r="E42" i="6"/>
  <c r="M43" i="6"/>
  <c r="E41" i="6"/>
  <c r="M42" i="6"/>
  <c r="O40" i="6" s="1"/>
  <c r="E36" i="6"/>
  <c r="E35" i="6"/>
  <c r="M36" i="6"/>
  <c r="E34" i="6"/>
  <c r="M35" i="6"/>
  <c r="E33" i="6"/>
  <c r="M34" i="6"/>
  <c r="E32" i="6"/>
  <c r="G32" i="6" s="1"/>
  <c r="M33" i="6"/>
  <c r="M32" i="6"/>
  <c r="M31" i="6"/>
  <c r="E28" i="6"/>
  <c r="E27" i="6"/>
  <c r="E26" i="6"/>
  <c r="E25" i="6"/>
  <c r="M26" i="6"/>
  <c r="E24" i="6"/>
  <c r="M25" i="6"/>
  <c r="E23" i="6"/>
  <c r="M24" i="6"/>
  <c r="E22" i="6"/>
  <c r="M23" i="6"/>
  <c r="E21" i="6"/>
  <c r="M22" i="6"/>
  <c r="E20" i="6"/>
  <c r="M21" i="6"/>
  <c r="E19" i="6"/>
  <c r="M20" i="6"/>
  <c r="E18" i="6"/>
  <c r="M19" i="6"/>
  <c r="M18" i="6"/>
  <c r="M17" i="6"/>
  <c r="M16" i="6"/>
  <c r="E14" i="6"/>
  <c r="M15" i="6"/>
  <c r="E13" i="6"/>
  <c r="M14" i="6"/>
  <c r="E12" i="6"/>
  <c r="M13" i="6"/>
  <c r="E11" i="6"/>
  <c r="M12" i="6"/>
  <c r="E10" i="6"/>
  <c r="M11" i="6"/>
  <c r="E9" i="6"/>
  <c r="M10" i="6"/>
  <c r="E8" i="6"/>
  <c r="M9" i="6"/>
  <c r="E7" i="6"/>
  <c r="M8" i="6"/>
  <c r="E6" i="6"/>
  <c r="M7" i="6"/>
  <c r="E5" i="6"/>
  <c r="M6" i="6"/>
  <c r="M5" i="6"/>
  <c r="M42" i="1"/>
  <c r="M41" i="1"/>
  <c r="E39" i="5"/>
  <c r="E38" i="5"/>
  <c r="E37" i="5"/>
  <c r="E36" i="5"/>
  <c r="E35" i="5"/>
  <c r="E25" i="5"/>
  <c r="E24" i="5"/>
  <c r="E23" i="5"/>
  <c r="E22" i="5"/>
  <c r="E21" i="5"/>
  <c r="E20" i="5"/>
  <c r="E19" i="5"/>
  <c r="E18" i="5"/>
  <c r="E14" i="5"/>
  <c r="M24" i="5"/>
  <c r="E13" i="5"/>
  <c r="M23" i="5"/>
  <c r="E12" i="5"/>
  <c r="M22" i="5"/>
  <c r="E11" i="5"/>
  <c r="M21" i="5"/>
  <c r="M20" i="5"/>
  <c r="M19" i="5"/>
  <c r="E10" i="5"/>
  <c r="M18" i="5"/>
  <c r="E9" i="5"/>
  <c r="M17" i="5"/>
  <c r="E8" i="5"/>
  <c r="M16" i="5"/>
  <c r="E7" i="5"/>
  <c r="M15" i="5"/>
  <c r="E6" i="5"/>
  <c r="M14" i="5"/>
  <c r="E5" i="5"/>
  <c r="M13" i="5"/>
  <c r="M12" i="5"/>
  <c r="M11" i="5"/>
  <c r="M10" i="5"/>
  <c r="M9" i="5"/>
  <c r="M8" i="5"/>
  <c r="M7" i="5"/>
  <c r="M6" i="5"/>
  <c r="M5" i="5"/>
  <c r="E26" i="1"/>
  <c r="E27" i="1"/>
  <c r="E24" i="1"/>
  <c r="E25" i="1"/>
  <c r="E28" i="1"/>
  <c r="E23" i="1"/>
  <c r="G3" i="7" l="1"/>
  <c r="G41" i="7"/>
  <c r="G18" i="7"/>
  <c r="G32" i="7"/>
  <c r="G2" i="7" s="1"/>
  <c r="F6" i="8" s="1"/>
  <c r="O29" i="7"/>
  <c r="O3" i="7"/>
  <c r="F14" i="8" s="1"/>
  <c r="G16" i="5"/>
  <c r="O29" i="5"/>
  <c r="O29" i="6"/>
  <c r="O3" i="6"/>
  <c r="F12" i="8" s="1"/>
  <c r="G3" i="6"/>
  <c r="G41" i="6"/>
  <c r="G18" i="6"/>
  <c r="O38" i="5"/>
  <c r="G3" i="5"/>
  <c r="G45" i="5"/>
  <c r="G36" i="5"/>
  <c r="O40" i="7"/>
  <c r="O40" i="1"/>
  <c r="O3" i="1"/>
  <c r="F11" i="8" s="1"/>
  <c r="O3" i="5"/>
  <c r="F13" i="8" s="1"/>
  <c r="E36" i="1"/>
  <c r="E34" i="1"/>
  <c r="E35" i="1"/>
  <c r="E37" i="1"/>
  <c r="E33" i="1"/>
  <c r="E45" i="1"/>
  <c r="E11" i="1"/>
  <c r="E46" i="1"/>
  <c r="E44" i="1"/>
  <c r="E43" i="1"/>
  <c r="E15" i="1"/>
  <c r="E42" i="1"/>
  <c r="E29" i="1"/>
  <c r="E22" i="1"/>
  <c r="E19" i="1"/>
  <c r="E20" i="1"/>
  <c r="E21" i="1"/>
  <c r="G2" i="6" l="1"/>
  <c r="F4" i="8" s="1"/>
  <c r="G1" i="6"/>
  <c r="B4" i="8" s="1"/>
  <c r="F10" i="8"/>
  <c r="G2" i="5"/>
  <c r="G1" i="5" s="1"/>
  <c r="G1" i="7"/>
  <c r="B6" i="8" s="1"/>
  <c r="G33" i="1"/>
  <c r="G42" i="1"/>
  <c r="G19" i="1"/>
  <c r="E14" i="1"/>
  <c r="E12" i="1"/>
  <c r="E10" i="1"/>
  <c r="E9" i="1"/>
  <c r="E5" i="1"/>
  <c r="E6" i="1"/>
  <c r="E7" i="1"/>
  <c r="E8" i="1"/>
  <c r="B5" i="8" l="1"/>
  <c r="F5" i="8"/>
  <c r="G3" i="1"/>
  <c r="G2" i="1" s="1"/>
  <c r="G1" i="1" s="1"/>
  <c r="B3" i="8" l="1"/>
  <c r="B2" i="8" s="1"/>
  <c r="F3" i="8"/>
  <c r="F2" i="8" s="1"/>
</calcChain>
</file>

<file path=xl/sharedStrings.xml><?xml version="1.0" encoding="utf-8"?>
<sst xmlns="http://schemas.openxmlformats.org/spreadsheetml/2006/main" count="530" uniqueCount="226">
  <si>
    <t>Planning général - Besoins RH</t>
  </si>
  <si>
    <t>Bene</t>
  </si>
  <si>
    <t>Tech</t>
  </si>
  <si>
    <t>Installation Technique</t>
  </si>
  <si>
    <t>Reglages technique + répète générale</t>
  </si>
  <si>
    <t>Représentation Maiche 1</t>
  </si>
  <si>
    <t>Représentation Maiche 2</t>
  </si>
  <si>
    <t>Installation technique</t>
  </si>
  <si>
    <t>Reglage technique + répète générale</t>
  </si>
  <si>
    <t>Représentation Maiche 3</t>
  </si>
  <si>
    <t>Représentation Morteau</t>
  </si>
  <si>
    <t>Représentation Maiche 4</t>
  </si>
  <si>
    <t>Démontage</t>
  </si>
  <si>
    <t>Fin installation + réglage</t>
  </si>
  <si>
    <t>Russey 1</t>
  </si>
  <si>
    <t>Russey 2</t>
  </si>
  <si>
    <t>Pas de mouvement de danse</t>
  </si>
  <si>
    <t>Gobo fleur</t>
  </si>
  <si>
    <t>Violet + blanc froid</t>
  </si>
  <si>
    <t>J'ai vu - Niagara</t>
  </si>
  <si>
    <t>Medley épique :</t>
  </si>
  <si>
    <t>placement arc de cercle sur scene</t>
  </si>
  <si>
    <t>Toxic</t>
  </si>
  <si>
    <t>Enemy - imagine dragons</t>
  </si>
  <si>
    <t>Arrive baton avec cape qui tournerons aurout de  + 4 autres danseuse sur devant de scene</t>
  </si>
  <si>
    <t>Iron - Woodkid</t>
  </si>
  <si>
    <t>Placement en ligne au début
Ambiance château</t>
  </si>
  <si>
    <t>Survivor</t>
  </si>
  <si>
    <t xml:space="preserve">P1 blinder, faisceau lyre plus fermé flash hasard multi position, face allumé clair, 
Fin avec douche central sur ysaline + blinder p1
</t>
  </si>
  <si>
    <t>Man i feel lika a woman</t>
  </si>
  <si>
    <t>1 LEAD main HF +  4choeurs dominants micro pied + Riser 2x 2x1m</t>
  </si>
  <si>
    <t>Medley comedie musicale</t>
  </si>
  <si>
    <t>L'assasymphonie</t>
  </si>
  <si>
    <t>Quand on arrive en ville</t>
  </si>
  <si>
    <t xml:space="preserve">Cindy casque + chœurs main et casque+ </t>
  </si>
  <si>
    <t>Le monde est stone</t>
  </si>
  <si>
    <t>Isalyne micro main solo</t>
  </si>
  <si>
    <t>Oh happy Day</t>
  </si>
  <si>
    <t>Lénais main + chœurs divers</t>
  </si>
  <si>
    <t xml:space="preserve">Think </t>
  </si>
  <si>
    <t>Mélanie casqure</t>
  </si>
  <si>
    <t>Summer Night</t>
  </si>
  <si>
    <t>emma ines main + chœurs casque + main</t>
  </si>
  <si>
    <t>tatoue moi</t>
  </si>
  <si>
    <t>Cléo Fanny Louanne en main</t>
  </si>
  <si>
    <t xml:space="preserve">Belle </t>
  </si>
  <si>
    <t>Chant ensemble micro ambiance + casque sur les gens déjà equipé</t>
  </si>
  <si>
    <t>Les rois du monde</t>
  </si>
  <si>
    <t>Soliste laura et violene en main + chœurs ambiance avec casque</t>
  </si>
  <si>
    <t>Tant qu'on reve encore</t>
  </si>
  <si>
    <t xml:space="preserve">Chant acapela tous ambiance + casque chœur </t>
  </si>
  <si>
    <t>Je fais de toi mon essentiel</t>
  </si>
  <si>
    <t>Audrey main + chœur</t>
  </si>
  <si>
    <t>We go Together</t>
  </si>
  <si>
    <t>Vaness melanie marjo casque + cléo ines lenais violene</t>
  </si>
  <si>
    <t>Footloose</t>
  </si>
  <si>
    <t>Que micro casque</t>
  </si>
  <si>
    <t>Earned it - the Weekned</t>
  </si>
  <si>
    <t>Gimme gimme gimme - Abba</t>
  </si>
  <si>
    <t>Laura, cindy, vaness, marjo, pauline emma, fanny ines cleo</t>
  </si>
  <si>
    <t>TOTAL WE1 MAICHE</t>
  </si>
  <si>
    <t>TOTAL ATOMIX</t>
  </si>
  <si>
    <t>SON</t>
  </si>
  <si>
    <t>MATOS ASSO</t>
  </si>
  <si>
    <t>Nom du produit</t>
  </si>
  <si>
    <t>quantité</t>
  </si>
  <si>
    <t>prix HT U LIST</t>
  </si>
  <si>
    <t>total HT list</t>
  </si>
  <si>
    <t>Remarque</t>
  </si>
  <si>
    <t>Berhinger Wing</t>
  </si>
  <si>
    <t>Berhinger S16</t>
  </si>
  <si>
    <t>Kit DMX</t>
  </si>
  <si>
    <t>KIT ELEC</t>
  </si>
  <si>
    <t>KIT MICRO</t>
  </si>
  <si>
    <t>KIT XLR</t>
  </si>
  <si>
    <t>Passage de cable</t>
  </si>
  <si>
    <t>Kit pied de micro</t>
  </si>
  <si>
    <t>RJ4530m</t>
  </si>
  <si>
    <t>Distri32A</t>
  </si>
  <si>
    <t>Quartz 10W</t>
  </si>
  <si>
    <t>AD4D shure</t>
  </si>
  <si>
    <t>AD2 BETA58A</t>
  </si>
  <si>
    <t>AD1</t>
  </si>
  <si>
    <t>Cable Antenne BNC 20m</t>
  </si>
  <si>
    <t>Antenne UA870WB – SHURE</t>
  </si>
  <si>
    <t>4488 Core DPA</t>
  </si>
  <si>
    <t>adaptateur Ethercon - Rj45</t>
  </si>
  <si>
    <t>TOURET RJ45 50M</t>
  </si>
  <si>
    <t>KM184</t>
  </si>
  <si>
    <t>Pied de micro droit</t>
  </si>
  <si>
    <t>LUMIERE</t>
  </si>
  <si>
    <t>MATOS MUSIC AND SHOW</t>
  </si>
  <si>
    <t>BT400</t>
  </si>
  <si>
    <t>TOTEM 3m</t>
  </si>
  <si>
    <t>BT200</t>
  </si>
  <si>
    <t>Kit par led</t>
  </si>
  <si>
    <t>Machine à Fumée lourde Heavy Fog</t>
  </si>
  <si>
    <t>Lyres ADJ Wizi Hex 7</t>
  </si>
  <si>
    <t>Micro HF Sennheiser</t>
  </si>
  <si>
    <t>GRANDMA 3 COMPACT</t>
  </si>
  <si>
    <t>BBOX 6 RDM – OXO</t>
  </si>
  <si>
    <t>DMX 5p - 3m</t>
  </si>
  <si>
    <t>DMX 5p - 5m</t>
  </si>
  <si>
    <t>DMX 5p - 10m</t>
  </si>
  <si>
    <t>DMX 5p - 20m</t>
  </si>
  <si>
    <t>DMX 5p - 50m</t>
  </si>
  <si>
    <t>Hazebase</t>
  </si>
  <si>
    <t>VIDEO</t>
  </si>
  <si>
    <t>Ecran TV 60'</t>
  </si>
  <si>
    <t>SDI 20m</t>
  </si>
  <si>
    <t>SDI 50m</t>
  </si>
  <si>
    <t>HDMI 1-2m</t>
  </si>
  <si>
    <t>Kit SDI HDMI converter</t>
  </si>
  <si>
    <t>STRUCTURE / RIGG</t>
  </si>
  <si>
    <t xml:space="preserve"> 3m pendrillion</t>
  </si>
  <si>
    <t>Praticable 2x1</t>
  </si>
  <si>
    <t>Roulettes de riser simple</t>
  </si>
  <si>
    <t>Juppe de scene 20cm x 4m</t>
  </si>
  <si>
    <t>Pince praticable</t>
  </si>
  <si>
    <t>RISER</t>
  </si>
  <si>
    <t>SCENE</t>
  </si>
  <si>
    <t>Pied fixe 1m</t>
  </si>
  <si>
    <t>jupe de scene 1m x 12</t>
  </si>
  <si>
    <t>Garde corps 2m</t>
  </si>
  <si>
    <t>Structure GRILL carré renforcé 1m</t>
  </si>
  <si>
    <t>Structure GRILL carré renforcé 2m</t>
  </si>
  <si>
    <t>Structure GRILL carré renforcé 3m</t>
  </si>
  <si>
    <t>Structure GRILL carré renforcé T3W</t>
  </si>
  <si>
    <t>Structure GRILL carré renforcé L2 90degré</t>
  </si>
  <si>
    <t>Moteur 1T 25m IP66 D8 – CHAINMASTER</t>
  </si>
  <si>
    <t>Moteur 320kg – LIFTKET</t>
  </si>
  <si>
    <t>Télécommande 2 x 4 moteurs RICO-V4 – Briteq</t>
  </si>
  <si>
    <t>Harting 20m</t>
  </si>
  <si>
    <t>Epanoui harting &gt; 4x moteur</t>
  </si>
  <si>
    <t>Cable moteur 10m</t>
  </si>
  <si>
    <t>Cable Moteur 20m</t>
  </si>
  <si>
    <t>Elingue steelflex 2m</t>
  </si>
  <si>
    <t>Manille 3,5T</t>
  </si>
  <si>
    <t>Escalier 1m</t>
  </si>
  <si>
    <t>Patience 10m fermeture au jeté</t>
  </si>
  <si>
    <t>Rideau pour patience 6m</t>
  </si>
  <si>
    <t>TOTAL WE3 MORTEAU</t>
  </si>
  <si>
    <t>Sunstrip LED</t>
  </si>
  <si>
    <t>MAC ALLURE PROFILE</t>
  </si>
  <si>
    <t>TTC</t>
  </si>
  <si>
    <t>SYS JBL</t>
  </si>
  <si>
    <t>Kit retour</t>
  </si>
  <si>
    <t xml:space="preserve"> </t>
  </si>
  <si>
    <t>RESSOURCES HUMAINES</t>
  </si>
  <si>
    <t>MORGAN VAUTHIER</t>
  </si>
  <si>
    <t>NOE FANTAUZZI</t>
  </si>
  <si>
    <t>COUP TOTAL</t>
  </si>
  <si>
    <t>TOTAL WE1 - Maiche</t>
  </si>
  <si>
    <t>TOTAL WE2 - Maiche</t>
  </si>
  <si>
    <t>TOTAL WE3 - Morteau</t>
  </si>
  <si>
    <t>TOTAL WE4 - Le Russey</t>
  </si>
  <si>
    <t>COUP CAVALCADE</t>
  </si>
  <si>
    <t>CAVALCADE WE1 - Maiche</t>
  </si>
  <si>
    <t>CAVALCADE WE2 - Maiche</t>
  </si>
  <si>
    <t>CAVALCADE WE3 - Morteau</t>
  </si>
  <si>
    <t>CAVALCADE WE4 - Le Russey</t>
  </si>
  <si>
    <t>COUP SCENE EN VUE</t>
  </si>
  <si>
    <t>ASEV WE1 - Maiche</t>
  </si>
  <si>
    <t>ASEV WE2 - Maiche</t>
  </si>
  <si>
    <t>ASEV WE3 - Morteau</t>
  </si>
  <si>
    <t>ASEV WE4 - Le Russey</t>
  </si>
  <si>
    <t>Substrip led</t>
  </si>
  <si>
    <t>Titre - Auteur</t>
  </si>
  <si>
    <t>Qui ? Fait quoi ?</t>
  </si>
  <si>
    <t>Laura : piano + micro main</t>
  </si>
  <si>
    <t>Groupe 1 : en ambiance sur coté gauche</t>
  </si>
  <si>
    <t>Groupe 2 : en ambiance sur coté droit</t>
  </si>
  <si>
    <t>Pauline : micro main LEAD</t>
  </si>
  <si>
    <t>Mélanie : micro main LEAD</t>
  </si>
  <si>
    <t>Groupe chœur via ambiance (ajout de micros casque eventuel)</t>
  </si>
  <si>
    <t>Scindage scène gauche / droite</t>
  </si>
  <si>
    <t>Blinder + gobo plat vert</t>
  </si>
  <si>
    <t>Wash ambre</t>
  </si>
  <si>
    <t xml:space="preserve">Run Boy Run - woodkid </t>
  </si>
  <si>
    <t>00m00 - 01m49</t>
  </si>
  <si>
    <t>Position &amp; détails scéniques</t>
  </si>
  <si>
    <t>Lumière</t>
  </si>
  <si>
    <t>01m49 - 03m48</t>
  </si>
  <si>
    <t>03m48 - 4min55</t>
  </si>
  <si>
    <t>4min55 - 06m30</t>
  </si>
  <si>
    <t>06m30 - 9min45</t>
  </si>
  <si>
    <t>Intro flash avec wash en contre
Blanc neutre + froid flash (no sunstrip)
Bruit de claquement flash lyre faisceau blanc
Puis claquement flash avec wash et monté descente desorganisé de faisceau pour final fade out</t>
  </si>
  <si>
    <t>Dance au sol, 4 personnes + le reste autour</t>
  </si>
  <si>
    <t>Bleu électrique + Rose pâle Flash blinder
douche centrale blanc neutre
Prevoir avec les wash laterale de killer les gens un a un de droite à gauche (bruit de fusil)
Puis hasard en bleu electrique
Moment calme rota de gobo en rose pale + flash bleu electrique wash
Final flash unique sunstrip only en fade out</t>
  </si>
  <si>
    <t>Début flash rouge wash only
puis monté descente de faisceau blanc
Lumiere centrale rouge
drop flash out soft rouge + un petit peu de face et flash sunstrip avec fin de faisceau large blanc en monté fade out</t>
  </si>
  <si>
    <t xml:space="preserve">Ok pour face, gobo arriere blanc monté descente.
Centre 
Latérale sur danseur avant puis globale a la reprise de tous. Alternance spot gobo chelou flash gauche droite
drop(horn) sunstrip animation milieu vers extérieur
</t>
  </si>
  <si>
    <t>HDMi to SDI</t>
  </si>
  <si>
    <t>SDI to hdmi</t>
  </si>
  <si>
    <t xml:space="preserve">Coupleur de micro </t>
  </si>
  <si>
    <t>Antenne UA870WB – SHURE avec magix arm</t>
  </si>
  <si>
    <t>GRANDMA 3 COMPACT XT</t>
  </si>
  <si>
    <t>Vidéo projecteur + Ecran</t>
  </si>
  <si>
    <t>QT</t>
  </si>
  <si>
    <t>PRIX U</t>
  </si>
  <si>
    <t>TOTAL  REDUC</t>
  </si>
  <si>
    <t>TOTAL WE</t>
  </si>
  <si>
    <t>Music And Show</t>
  </si>
  <si>
    <t>RH</t>
  </si>
  <si>
    <t>RH gestion</t>
  </si>
  <si>
    <t>Site Web</t>
  </si>
  <si>
    <t>Someone you loved - Lewis Capaldi</t>
  </si>
  <si>
    <t>Danse cabaret sur chaise</t>
  </si>
  <si>
    <t>Année 80 multicolor</t>
  </si>
  <si>
    <t>6 solistes (Vaness mélanie laura micro casaque)</t>
  </si>
  <si>
    <t>Solo violenne - Edith piaf</t>
  </si>
  <si>
    <t>Solo dance Lena - Claudio Capeo</t>
  </si>
  <si>
    <t>Jonglage 1 - Lilian Renaud</t>
  </si>
  <si>
    <t>Sketch Louane</t>
  </si>
  <si>
    <t>Sketch JP</t>
  </si>
  <si>
    <t>Jonglage 2 - Royalty</t>
  </si>
  <si>
    <t>Sketch homme femme</t>
  </si>
  <si>
    <t>Trio Ines Fanny Cleo - Smalltown boy</t>
  </si>
  <si>
    <t>Cleo Fanny - Skip the use</t>
  </si>
  <si>
    <t>Wash side rouge, faisceau blanc strobe dimmer en monté, flash blind sur les poses</t>
  </si>
  <si>
    <t>Solo dance leatitia - Grand corps malade / je t'aime</t>
  </si>
  <si>
    <t>Micro casque</t>
  </si>
  <si>
    <t xml:space="preserve"> micros micros mains micros</t>
  </si>
  <si>
    <t>micro main</t>
  </si>
  <si>
    <t>Premier chiffrage</t>
  </si>
  <si>
    <t>Deuxieme Chiffrage</t>
  </si>
  <si>
    <t>Troisième Chiffrage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</si>
</sst>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&quot;CHF&quot;_-;\-* #,##0.00\ &quot;CHF&quot;_-;_-* &quot;-&quot;??\ &quot;CHF&quot;_-;_-@_-"/>
    <numFmt numFmtId="165" formatCode="_-* #,##0.00\ [$EUR]_-;\-* #,##0.00\ [$EUR]_-;_-* &quot;-&quot;??\ [$EUR]_-;_-@_-"/>
    <numFmt numFmtId="166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A3A3A3"/>
      </left>
      <right/>
      <top/>
      <bottom/>
      <diagonal/>
    </border>
    <border>
      <left style="medium">
        <color rgb="FFA3A3A3"/>
      </left>
      <right style="medium">
        <color rgb="FFA3A3A3"/>
      </right>
      <top/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 style="medium">
        <color rgb="FFA3A3A3"/>
      </right>
      <top/>
      <bottom style="medium">
        <color rgb="FFA3A3A3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rgb="FFA3A3A3"/>
      </right>
      <top style="medium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indexed="64"/>
      </top>
      <bottom/>
      <diagonal/>
    </border>
    <border>
      <left style="medium">
        <color rgb="FFA3A3A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A3A3A3"/>
      </right>
      <top/>
      <bottom/>
      <diagonal/>
    </border>
    <border>
      <left style="medium">
        <color rgb="FFA3A3A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A3A3A3"/>
      </right>
      <top/>
      <bottom style="medium">
        <color indexed="64"/>
      </bottom>
      <diagonal/>
    </border>
    <border>
      <left style="medium">
        <color rgb="FFA3A3A3"/>
      </left>
      <right style="medium">
        <color rgb="FFA3A3A3"/>
      </right>
      <top/>
      <bottom style="medium">
        <color indexed="64"/>
      </bottom>
      <diagonal/>
    </border>
    <border>
      <left style="medium">
        <color rgb="FFA3A3A3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2" fontId="0" fillId="0" borderId="0" xfId="0" applyNumberFormat="1"/>
    <xf numFmtId="164" fontId="0" fillId="0" borderId="0" xfId="1" applyFont="1"/>
    <xf numFmtId="165" fontId="0" fillId="0" borderId="0" xfId="1" applyNumberFormat="1" applyFont="1"/>
    <xf numFmtId="165" fontId="0" fillId="0" borderId="0" xfId="0" applyNumberFormat="1"/>
    <xf numFmtId="165" fontId="0" fillId="0" borderId="1" xfId="1" applyNumberFormat="1" applyFont="1" applyBorder="1"/>
    <xf numFmtId="0" fontId="0" fillId="0" borderId="0" xfId="0" applyAlignment="1">
      <alignment horizontal="right"/>
    </xf>
    <xf numFmtId="16" fontId="0" fillId="0" borderId="1" xfId="0" applyNumberFormat="1" applyBorder="1"/>
    <xf numFmtId="0" fontId="0" fillId="0" borderId="1" xfId="0" applyBorder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0" borderId="2" xfId="0" applyBorder="1"/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0" fillId="3" borderId="2" xfId="0" applyFill="1" applyBorder="1"/>
    <xf numFmtId="0" fontId="0" fillId="5" borderId="1" xfId="0" applyFill="1" applyBorder="1"/>
    <xf numFmtId="165" fontId="0" fillId="0" borderId="3" xfId="1" applyNumberFormat="1" applyFont="1" applyBorder="1"/>
    <xf numFmtId="165" fontId="0" fillId="0" borderId="4" xfId="1" applyNumberFormat="1" applyFont="1" applyBorder="1"/>
    <xf numFmtId="0" fontId="0" fillId="0" borderId="5" xfId="0" applyBorder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0" fillId="7" borderId="0" xfId="0" applyFill="1"/>
    <xf numFmtId="0" fontId="0" fillId="7" borderId="6" xfId="0" applyFill="1" applyBorder="1" applyAlignment="1">
      <alignment vertical="center" wrapText="1"/>
    </xf>
    <xf numFmtId="0" fontId="0" fillId="7" borderId="7" xfId="0" applyFill="1" applyBorder="1" applyAlignment="1">
      <alignment vertical="top" wrapText="1"/>
    </xf>
    <xf numFmtId="0" fontId="0" fillId="7" borderId="0" xfId="0" applyFill="1" applyAlignment="1">
      <alignment wrapText="1"/>
    </xf>
    <xf numFmtId="0" fontId="0" fillId="7" borderId="7" xfId="0" applyFill="1" applyBorder="1" applyAlignment="1">
      <alignment vertical="center" wrapText="1"/>
    </xf>
    <xf numFmtId="0" fontId="0" fillId="7" borderId="8" xfId="0" applyFill="1" applyBorder="1" applyAlignment="1">
      <alignment vertical="center" wrapText="1"/>
    </xf>
    <xf numFmtId="0" fontId="0" fillId="7" borderId="9" xfId="0" applyFill="1" applyBorder="1" applyAlignment="1">
      <alignment vertical="center" wrapText="1"/>
    </xf>
    <xf numFmtId="0" fontId="0" fillId="7" borderId="9" xfId="0" applyFill="1" applyBorder="1" applyAlignment="1">
      <alignment vertical="top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6" borderId="11" xfId="0" applyFont="1" applyFill="1" applyBorder="1"/>
    <xf numFmtId="2" fontId="4" fillId="6" borderId="10" xfId="0" applyNumberFormat="1" applyFont="1" applyFill="1" applyBorder="1"/>
    <xf numFmtId="164" fontId="4" fillId="6" borderId="10" xfId="1" applyFont="1" applyFill="1" applyBorder="1"/>
    <xf numFmtId="0" fontId="4" fillId="6" borderId="10" xfId="0" applyFont="1" applyFill="1" applyBorder="1"/>
    <xf numFmtId="0" fontId="4" fillId="6" borderId="12" xfId="0" applyFont="1" applyFill="1" applyBorder="1"/>
    <xf numFmtId="0" fontId="5" fillId="0" borderId="0" xfId="0" applyFont="1" applyAlignment="1">
      <alignment horizontal="right"/>
    </xf>
    <xf numFmtId="44" fontId="5" fillId="0" borderId="0" xfId="1" applyNumberFormat="1" applyFont="1"/>
    <xf numFmtId="44" fontId="0" fillId="0" borderId="0" xfId="1" applyNumberFormat="1" applyFont="1"/>
    <xf numFmtId="166" fontId="5" fillId="0" borderId="0" xfId="0" applyNumberFormat="1" applyFont="1"/>
    <xf numFmtId="166" fontId="0" fillId="0" borderId="0" xfId="0" applyNumberFormat="1"/>
    <xf numFmtId="166" fontId="0" fillId="0" borderId="0" xfId="1" applyNumberFormat="1" applyFont="1"/>
    <xf numFmtId="166" fontId="5" fillId="0" borderId="0" xfId="1" applyNumberFormat="1" applyFont="1"/>
    <xf numFmtId="0" fontId="0" fillId="7" borderId="0" xfId="0" applyFill="1" applyAlignment="1">
      <alignment vertical="top" wrapText="1"/>
    </xf>
    <xf numFmtId="0" fontId="0" fillId="7" borderId="6" xfId="0" applyFill="1" applyBorder="1" applyAlignment="1">
      <alignment vertical="top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19" xfId="0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8" borderId="0" xfId="0" applyFill="1" applyAlignment="1">
      <alignment vertical="center" wrapText="1"/>
    </xf>
    <xf numFmtId="0" fontId="0" fillId="8" borderId="0" xfId="0" applyFill="1"/>
    <xf numFmtId="0" fontId="0" fillId="8" borderId="2" xfId="0" applyFill="1" applyBorder="1" applyAlignment="1">
      <alignment vertical="center" wrapText="1"/>
    </xf>
    <xf numFmtId="0" fontId="0" fillId="8" borderId="24" xfId="0" applyFill="1" applyBorder="1" applyAlignment="1">
      <alignment vertical="center" wrapText="1"/>
    </xf>
    <xf numFmtId="0" fontId="0" fillId="8" borderId="25" xfId="0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6" fontId="5" fillId="4" borderId="0" xfId="0" applyNumberFormat="1" applyFont="1" applyFill="1"/>
    <xf numFmtId="0" fontId="0" fillId="4" borderId="0" xfId="0" applyFill="1"/>
    <xf numFmtId="0" fontId="5" fillId="7" borderId="9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" fillId="8" borderId="21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104">
    <dxf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.00\ [$EUR]_-;\-* #,##0.00\ [$EUR]_-;_-* &quot;-&quot;??\ [$EUR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5" formatCode="_-* #,##0.00\ [$EUR]_-;\-* #,##0.00\ [$EUR]_-;_-* &quot;-&quot;??\ [$EUR]_-;_-@_-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numFmt numFmtId="165" formatCode="_-* #,##0.00\ [$EUR]_-;\-* #,##0.00\ [$EUR]_-;_-* &quot;-&quot;??\ [$EUR]_-;_-@_-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2" formatCode="0.00"/>
    </dxf>
    <dxf>
      <numFmt numFmtId="165" formatCode="_-* #,##0.00\ [$EUR]_-;\-* #,##0.00\ [$EUR]_-;_-* &quot;-&quot;??\ [$EUR]_-;_-@_-"/>
    </dxf>
    <dxf>
      <numFmt numFmtId="165" formatCode="_-* #,##0.00\ [$EUR]_-;\-* #,##0.00\ [$EUR]_-;_-* &quot;-&quot;??\ [$EUR]_-;_-@_-"/>
    </dxf>
    <dxf>
      <numFmt numFmtId="2" formatCode="0.00"/>
    </dxf>
    <dxf>
      <numFmt numFmtId="0" formatCode="General"/>
    </dxf>
    <dxf>
      <numFmt numFmtId="165" formatCode="_-* #,##0.00\ [$EUR]_-;\-* #,##0.00\ [$EUR]_-;_-* &quot;-&quot;??\ [$EUR]_-;_-@_-"/>
    </dxf>
    <dxf>
      <numFmt numFmtId="0" formatCode="General"/>
    </dxf>
    <dxf>
      <numFmt numFmtId="165" formatCode="_-* #,##0.00\ [$EUR]_-;\-* #,##0.00\ [$EUR]_-;_-* &quot;-&quot;??\ [$EUR]_-;_-@_-"/>
    </dxf>
    <dxf>
      <numFmt numFmtId="2" formatCode="0.00"/>
    </dxf>
    <dxf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.00\ [$EUR]_-;\-* #,##0.00\ [$EUR]_-;_-* &quot;-&quot;??\ [$EUR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border outline="0">
        <left style="thin">
          <color indexed="64"/>
        </left>
      </border>
    </dxf>
    <dxf>
      <numFmt numFmtId="165" formatCode="_-* #,##0.00\ [$EUR]_-;\-* #,##0.00\ [$EUR]_-;_-* &quot;-&quot;??\ [$EUR]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* #,##0.00\ [$EUR]_-;\-* #,##0.00\ [$EUR]_-;_-* &quot;-&quot;??\ [$EUR]_-;_-@_-"/>
      <border outline="0">
        <right style="thin">
          <color indexed="64"/>
        </right>
      </border>
    </dxf>
    <dxf>
      <numFmt numFmtId="2" formatCode="0.00"/>
    </dxf>
    <dxf>
      <numFmt numFmtId="165" formatCode="_-* #,##0.00\ [$EUR]_-;\-* #,##0.00\ [$EUR]_-;_-* &quot;-&quot;??\ [$EUR]_-;_-@_-"/>
    </dxf>
    <dxf>
      <numFmt numFmtId="165" formatCode="_-* #,##0.00\ [$EUR]_-;\-* #,##0.00\ [$EUR]_-;_-* &quot;-&quot;??\ [$EUR]_-;_-@_-"/>
    </dxf>
    <dxf>
      <numFmt numFmtId="2" formatCode="0.00"/>
    </dxf>
    <dxf>
      <numFmt numFmtId="0" formatCode="General"/>
    </dxf>
    <dxf>
      <numFmt numFmtId="165" formatCode="_-* #,##0.00\ [$EUR]_-;\-* #,##0.00\ [$EUR]_-;_-* &quot;-&quot;??\ [$EUR]_-;_-@_-"/>
    </dxf>
    <dxf>
      <numFmt numFmtId="0" formatCode="General"/>
    </dxf>
    <dxf>
      <numFmt numFmtId="165" formatCode="_-* #,##0.00\ [$EUR]_-;\-* #,##0.00\ [$EUR]_-;_-* &quot;-&quot;??\ [$EUR]_-;_-@_-"/>
    </dxf>
    <dxf>
      <numFmt numFmtId="2" formatCode="0.00"/>
    </dxf>
    <dxf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0" formatCode="General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.00\ [$EUR]_-;\-* #,##0.00\ [$EUR]_-;_-* &quot;-&quot;??\ [$EUR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border outline="0">
        <left style="thin">
          <color indexed="64"/>
        </left>
      </border>
    </dxf>
    <dxf>
      <numFmt numFmtId="165" formatCode="_-* #,##0.00\ [$EUR]_-;\-* #,##0.00\ [$EUR]_-;_-* &quot;-&quot;??\ [$EUR]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* #,##0.00\ [$EUR]_-;\-* #,##0.00\ [$EUR]_-;_-* &quot;-&quot;??\ [$EUR]_-;_-@_-"/>
      <border outline="0">
        <right style="thin">
          <color indexed="64"/>
        </right>
      </border>
    </dxf>
    <dxf>
      <numFmt numFmtId="2" formatCode="0.00"/>
    </dxf>
    <dxf>
      <numFmt numFmtId="165" formatCode="_-* #,##0.00\ [$EUR]_-;\-* #,##0.00\ [$EUR]_-;_-* &quot;-&quot;??\ [$EUR]_-;_-@_-"/>
    </dxf>
    <dxf>
      <numFmt numFmtId="165" formatCode="_-* #,##0.00\ [$EUR]_-;\-* #,##0.00\ [$EUR]_-;_-* &quot;-&quot;??\ [$EUR]_-;_-@_-"/>
    </dxf>
    <dxf>
      <numFmt numFmtId="2" formatCode="0.00"/>
    </dxf>
    <dxf>
      <numFmt numFmtId="0" formatCode="General"/>
    </dxf>
    <dxf>
      <numFmt numFmtId="165" formatCode="_-* #,##0.00\ [$EUR]_-;\-* #,##0.00\ [$EUR]_-;_-* &quot;-&quot;??\ [$EUR]_-;_-@_-"/>
    </dxf>
    <dxf>
      <numFmt numFmtId="0" formatCode="General"/>
    </dxf>
    <dxf>
      <numFmt numFmtId="165" formatCode="_-* #,##0.00\ [$EUR]_-;\-* #,##0.00\ [$EUR]_-;_-* &quot;-&quot;??\ [$EUR]_-;_-@_-"/>
    </dxf>
    <dxf>
      <numFmt numFmtId="2" formatCode="0.00"/>
    </dxf>
    <dxf>
      <numFmt numFmtId="0" formatCode="General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numFmt numFmtId="0" formatCode="General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.00\ [$EUR]_-;\-* #,##0.00\ [$EUR]_-;_-* &quot;-&quot;??\ [$EUR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2" formatCode="0.00"/>
    </dxf>
    <dxf>
      <border outline="0">
        <left style="thin">
          <color indexed="64"/>
        </left>
      </border>
    </dxf>
    <dxf>
      <numFmt numFmtId="165" formatCode="_-* #,##0.00\ [$EUR]_-;\-* #,##0.00\ [$EUR]_-;_-* &quot;-&quot;??\ [$EUR]_-;_-@_-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_-* #,##0.00\ [$EUR]_-;\-* #,##0.00\ [$EUR]_-;_-* &quot;-&quot;??\ [$EUR]_-;_-@_-"/>
      <border outline="0">
        <right style="thin">
          <color indexed="64"/>
        </right>
      </border>
    </dxf>
    <dxf>
      <numFmt numFmtId="2" formatCode="0.00"/>
    </dxf>
    <dxf>
      <numFmt numFmtId="165" formatCode="_-* #,##0.00\ [$EUR]_-;\-* #,##0.00\ [$EUR]_-;_-* &quot;-&quot;??\ [$EUR]_-;_-@_-"/>
    </dxf>
    <dxf>
      <numFmt numFmtId="165" formatCode="_-* #,##0.00\ [$EUR]_-;\-* #,##0.00\ [$EUR]_-;_-* &quot;-&quot;??\ [$EUR]_-;_-@_-"/>
    </dxf>
    <dxf>
      <numFmt numFmtId="2" formatCode="0.00"/>
    </dxf>
    <dxf>
      <numFmt numFmtId="0" formatCode="General"/>
    </dxf>
    <dxf>
      <numFmt numFmtId="165" formatCode="_-* #,##0.00\ [$EUR]_-;\-* #,##0.00\ [$EUR]_-;_-* &quot;-&quot;??\ [$EUR]_-;_-@_-"/>
    </dxf>
    <dxf>
      <numFmt numFmtId="0" formatCode="General"/>
    </dxf>
    <dxf>
      <numFmt numFmtId="165" formatCode="_-* #,##0.00\ [$EUR]_-;\-* #,##0.00\ [$EUR]_-;_-* &quot;-&quot;??\ [$EUR]_-;_-@_-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A9FD440-1A50-4789-9AF5-820668A9B935}" name="Tableau2" displayName="Tableau2" ref="B4:F15">
  <autoFilter ref="B4:F15" xr:uid="{0A9FD440-1A50-4789-9AF5-820668A9B935}"/>
  <tableColumns count="5">
    <tableColumn id="1" xr3:uid="{E6FBF2F3-ABF5-428F-9693-D809B12B599C}" name="Nom du produit" totalsRowLabel="Total"/>
    <tableColumn id="2" xr3:uid="{FE061701-69B7-49BC-B69D-027D15BFD973}" name="quantité" dataDxfId="103"/>
    <tableColumn id="3" xr3:uid="{F5418E99-A25F-4B7C-BB87-0BAD8169F5EE}" name="prix HT U LIST" dataDxfId="102" totalsRowDxfId="101" dataCellStyle="Monétaire"/>
    <tableColumn id="4" xr3:uid="{DB1A6CD9-1870-4126-8A04-9AA2733006AC}" name="total HT list" dataDxfId="100" totalsRowDxfId="99" dataCellStyle="Monétaire">
      <calculatedColumnFormula>Tableau2[[#This Row],[quantité]]*Tableau2[[#This Row],[prix HT U LIST]]</calculatedColumnFormula>
    </tableColumn>
    <tableColumn id="5" xr3:uid="{923350D3-EA61-414F-89F0-FD1F5634B781}" name="Remarque" totalsRowFunction="count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D2A413B-B710-42A3-8491-90DF7307645D}" name="Tableau126" displayName="Tableau126" ref="B31:F36" totalsRowShown="0">
  <autoFilter ref="B31:F36" xr:uid="{362276FD-886E-43CC-9F35-142FAB159D0B}"/>
  <tableColumns count="5">
    <tableColumn id="1" xr3:uid="{F0F41FD0-375D-4130-819C-1BF05B8794FD}" name="Nom du produit"/>
    <tableColumn id="2" xr3:uid="{B33D1EF8-307D-423B-BB29-07F7AE787D67}" name="quantité" dataDxfId="68"/>
    <tableColumn id="3" xr3:uid="{CBB37057-6498-4247-80C8-921B8A174DA1}" name="prix HT U LIST" dataDxfId="67" dataCellStyle="Monétaire"/>
    <tableColumn id="4" xr3:uid="{2CC229EC-50E7-4C02-B8C2-192DB73D2907}" name="total HT list" dataDxfId="66" dataCellStyle="Monétaire">
      <calculatedColumnFormula>Tableau126[[#This Row],[quantité]]*Tableau126[[#This Row],[prix HT U LIST]]</calculatedColumnFormula>
    </tableColumn>
    <tableColumn id="5" xr3:uid="{70971C38-2E0E-4A74-BE01-16ACB69131F6}" name="Remarque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9D46892-7984-4800-8EAD-7F02B7E37E02}" name="Tableau627" displayName="Tableau627" ref="J4:N26" totalsRowShown="0" headerRowDxfId="65" headerRowBorderDxfId="64" tableBorderDxfId="63">
  <autoFilter ref="J4:N26" xr:uid="{C6553302-E21E-4CE8-B057-9DD6B02BBD99}"/>
  <tableColumns count="5">
    <tableColumn id="1" xr3:uid="{079E9203-E3E6-4DFB-990D-44D294F56F73}" name="Nom du produit"/>
    <tableColumn id="2" xr3:uid="{D0CA74E6-AB15-449F-9560-BE5303741BAA}" name="quantité"/>
    <tableColumn id="3" xr3:uid="{3B7F74E4-9B4F-46AB-8135-21E6C903C36D}" name="prix HT U LIST"/>
    <tableColumn id="4" xr3:uid="{B7FB7E34-8102-4406-9363-333724DCF1E1}" name="total HT list" dataDxfId="62">
      <calculatedColumnFormula>Tableau627[[#This Row],[quantité]]*Tableau627[[#This Row],[prix HT U LIST]]</calculatedColumnFormula>
    </tableColumn>
    <tableColumn id="5" xr3:uid="{5C6D4A41-B589-4397-A10E-B8F29EBC4250}" name="Remarque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ACD94B1-291E-48B6-85EB-49648B9D42FB}" name="Tableau728" displayName="Tableau728" ref="J30:N36" totalsRowShown="0" headerRowDxfId="61" headerRowBorderDxfId="60" tableBorderDxfId="59">
  <autoFilter ref="J30:N36" xr:uid="{8B6248ED-8D4C-47C0-B730-64B4B6DC7442}"/>
  <tableColumns count="5">
    <tableColumn id="1" xr3:uid="{42AD3A62-6208-413A-901E-A25AE924F8A6}" name="Nom du produit"/>
    <tableColumn id="2" xr3:uid="{1E310B41-4BCE-4E21-851A-69CCB729B3F5}" name="quantité"/>
    <tableColumn id="3" xr3:uid="{9D2E5CCA-E56D-4B0A-AD74-7092F02B9722}" name="prix HT U LIST"/>
    <tableColumn id="4" xr3:uid="{52F4745F-9D6B-4590-9A84-7B21181AE6F3}" name="total HT list" dataDxfId="58">
      <calculatedColumnFormula>Tableau728[[#This Row],[quantité]]*Tableau728[[#This Row],[prix HT U LIST]]</calculatedColumnFormula>
    </tableColumn>
    <tableColumn id="5" xr3:uid="{41F6151D-A1EE-4029-90A4-9F2D4AEB02E1}" name="Remarque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26E1B02-1ED0-4221-A040-38E1F0BF40CA}" name="Tableau7629" displayName="Tableau7629" ref="J41:N43" totalsRowShown="0" headerRowDxfId="57" headerRowBorderDxfId="56" tableBorderDxfId="55">
  <autoFilter ref="J41:N43" xr:uid="{B972DB58-87DE-4052-A4A4-5A8B7E19C1B2}"/>
  <tableColumns count="5">
    <tableColumn id="1" xr3:uid="{ED72EB80-8FE3-46AC-9474-7725F06D0DD1}" name="Nom du produit"/>
    <tableColumn id="2" xr3:uid="{31C49AC1-ED83-4848-A296-43DE028D5335}" name="quantité"/>
    <tableColumn id="3" xr3:uid="{5B1DF1B7-CDD8-4A26-A27F-E31DF37F5C80}" name="prix HT U LIST"/>
    <tableColumn id="4" xr3:uid="{8A83FD55-02EB-4C45-9FD4-CC46455792B6}" name="total HT list" dataDxfId="54">
      <calculatedColumnFormula>Tableau7629[[#This Row],[quantité]]*Tableau7629[[#This Row],[prix HT U LIST]]</calculatedColumnFormula>
    </tableColumn>
    <tableColumn id="5" xr3:uid="{0DCA6E48-F630-44B7-B8AF-355F3053CAA2}" name="Remarque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BA3B1B2-5D90-4236-AF7E-749EFF499F00}" name="Tableau216" displayName="Tableau216" ref="B4:F14">
  <autoFilter ref="B4:F14" xr:uid="{0A9FD440-1A50-4789-9AF5-820668A9B935}"/>
  <tableColumns count="5">
    <tableColumn id="1" xr3:uid="{09CDCD44-4548-491A-924D-8772F0C3A29F}" name="Nom du produit" totalsRowLabel="Total"/>
    <tableColumn id="2" xr3:uid="{D382AA2B-F083-4EEE-BFA7-C6B4DB21FDB2}" name="quantité" dataDxfId="53"/>
    <tableColumn id="3" xr3:uid="{361E04E5-B1B3-4B6B-AED1-107D69066C6F}" name="prix HT U LIST" dataDxfId="52" totalsRowDxfId="51" dataCellStyle="Monétaire"/>
    <tableColumn id="4" xr3:uid="{6958FD1F-3F61-4280-A00C-A257A985682B}" name="total HT list" dataDxfId="50" totalsRowDxfId="49" dataCellStyle="Monétaire">
      <calculatedColumnFormula>Tableau216[[#This Row],[quantité]]*Tableau216[[#This Row],[prix HT U LIST]]</calculatedColumnFormula>
    </tableColumn>
    <tableColumn id="5" xr3:uid="{379E5403-0318-452D-8183-305F2F02199B}" name="Remarque" totalsRowFunction="count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B6130F0-9EC9-4D13-B5A6-0562C54193DD}" name="Tableau2417" displayName="Tableau2417" ref="B17:F26" totalsRowShown="0">
  <autoFilter ref="B17:F26" xr:uid="{3F3F5F00-AA7E-4EAF-A4E4-DCA62C284630}"/>
  <tableColumns count="5">
    <tableColumn id="1" xr3:uid="{DCCB0241-DC55-4B67-85C6-F3A357DFADFF}" name="Nom du produit"/>
    <tableColumn id="2" xr3:uid="{708A40CE-0ADF-4841-A052-071B37CD0AC2}" name="quantité" dataDxfId="48"/>
    <tableColumn id="3" xr3:uid="{DC815827-52DF-4293-84AA-2432052C1ABA}" name="prix HT U LIST" dataDxfId="47" dataCellStyle="Monétaire"/>
    <tableColumn id="4" xr3:uid="{DF5E4AE3-8140-4A93-9FEB-4FFC8D70DAF2}" name="total HT list" dataDxfId="46" dataCellStyle="Monétaire">
      <calculatedColumnFormula>Tableau2417[[#This Row],[quantité]]*Tableau2417[[#This Row],[prix HT U LIST]]</calculatedColumnFormula>
    </tableColumn>
    <tableColumn id="5" xr3:uid="{B32DAEFD-E3A7-4747-A0BB-E7FFEF8600FA}" name="Remarque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AD0DF8B-EAC4-4854-AF9A-6D5182855090}" name="Tableau24518" displayName="Tableau24518" ref="B34:F39" totalsRowShown="0">
  <autoFilter ref="B34:F39" xr:uid="{CA05BA59-3132-4BD7-9298-092042C22C5A}"/>
  <tableColumns count="5">
    <tableColumn id="1" xr3:uid="{160C81F2-0038-4B03-AF29-AF26BEC54A52}" name="Nom du produit"/>
    <tableColumn id="2" xr3:uid="{2D72CC9B-9DA5-44C5-AA46-AF265CB536F9}" name="quantité" dataDxfId="45"/>
    <tableColumn id="3" xr3:uid="{4645E139-2001-4663-85C8-CB7CDF0BAFB9}" name="prix HT U LIST" dataDxfId="44" dataCellStyle="Monétaire"/>
    <tableColumn id="4" xr3:uid="{E4F334EA-1D37-43B9-9152-6696E4A500F0}" name="total HT list" dataDxfId="43" dataCellStyle="Monétaire">
      <calculatedColumnFormula>Tableau24518[[#This Row],[quantité]]*Tableau24518[[#This Row],[prix HT U LIST]]</calculatedColumnFormula>
    </tableColumn>
    <tableColumn id="5" xr3:uid="{A6A3104C-1735-457D-8F6D-8E041CBC92AB}" name="Remarque" dataDxfId="42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990A68-16E4-4C18-8F39-97FBCA0892F6}" name="Tableau120" displayName="Tableau120" ref="B29:F30" totalsRowShown="0">
  <autoFilter ref="B29:F30" xr:uid="{362276FD-886E-43CC-9F35-142FAB159D0B}"/>
  <tableColumns count="5">
    <tableColumn id="1" xr3:uid="{41348988-78D7-42AC-BC44-C19E323524AD}" name="Nom du produit"/>
    <tableColumn id="2" xr3:uid="{3F31F2C1-0CAC-4EC3-BC1E-5B2250B68A34}" name="quantité" dataDxfId="41"/>
    <tableColumn id="3" xr3:uid="{5569EA40-ABFC-4C81-851C-7E90CC62F254}" name="prix HT U LIST" dataDxfId="40" dataCellStyle="Monétaire"/>
    <tableColumn id="4" xr3:uid="{83636A78-D9B9-4455-8EA4-D551C02DF899}" name="total HT list" dataDxfId="39" dataCellStyle="Monétaire"/>
    <tableColumn id="5" xr3:uid="{B3C5043C-84C4-46EA-9183-F3B309526736}" name="Remarque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0B2011B-EF48-4DEE-A931-75830E959B0C}" name="Tableau621" displayName="Tableau621" ref="J4:N24" totalsRowShown="0" headerRowDxfId="38" headerRowBorderDxfId="37" tableBorderDxfId="36">
  <autoFilter ref="J4:N24" xr:uid="{C6553302-E21E-4CE8-B057-9DD6B02BBD99}"/>
  <tableColumns count="5">
    <tableColumn id="1" xr3:uid="{13433CF8-4178-4A57-A6EB-E255163B4DAC}" name="Nom du produit"/>
    <tableColumn id="2" xr3:uid="{24492628-2448-4C53-B4AD-57A05E38BA56}" name="quantité"/>
    <tableColumn id="3" xr3:uid="{47A444D8-27C6-49BE-B50F-617D1CAE1708}" name="prix HT U LIST"/>
    <tableColumn id="4" xr3:uid="{36A32D99-C3B1-4F77-A455-010A6F36BDD3}" name="total HT list" dataDxfId="35">
      <calculatedColumnFormula>Tableau621[[#This Row],[quantité]]*Tableau621[[#This Row],[prix HT U LIST]]</calculatedColumnFormula>
    </tableColumn>
    <tableColumn id="5" xr3:uid="{417C545F-DDBC-48DE-8556-91CBF6286D28}" name="Remarque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AA793FE0-033F-4111-84AA-3607B1001A00}" name="Tableau722" displayName="Tableau722" ref="J28:N34" totalsRowShown="0" headerRowDxfId="34" headerRowBorderDxfId="33" tableBorderDxfId="32">
  <autoFilter ref="J28:N34" xr:uid="{8B6248ED-8D4C-47C0-B730-64B4B6DC7442}"/>
  <tableColumns count="5">
    <tableColumn id="1" xr3:uid="{313237AC-13B8-464A-A193-76DC8AD020BA}" name="Nom du produit"/>
    <tableColumn id="2" xr3:uid="{948A1918-3175-4E9E-A934-AE9FAD5230BD}" name="quantité"/>
    <tableColumn id="3" xr3:uid="{91B6C251-5057-4BF5-A398-D48D614F4BE3}" name="prix HT U LIST"/>
    <tableColumn id="4" xr3:uid="{32AA9FB5-6719-4FAC-945B-58D237D2CD1E}" name="total HT list" dataDxfId="31">
      <calculatedColumnFormula>Tableau722[[#This Row],[quantité]]*Tableau722[[#This Row],[prix HT U LIST]]</calculatedColumnFormula>
    </tableColumn>
    <tableColumn id="5" xr3:uid="{E67D40A8-E01D-4C4D-83DF-2467C508CA3C}" name="Remarque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F3F5F00-AA7E-4EAF-A4E4-DCA62C284630}" name="Tableau24" displayName="Tableau24" ref="B18:F29" totalsRowShown="0">
  <autoFilter ref="B18:F29" xr:uid="{3F3F5F00-AA7E-4EAF-A4E4-DCA62C284630}"/>
  <tableColumns count="5">
    <tableColumn id="1" xr3:uid="{2B25A993-4C72-498D-9CF8-573E6301FCC2}" name="Nom du produit"/>
    <tableColumn id="2" xr3:uid="{0802D61F-7FB8-4532-A487-236E1A15DF45}" name="quantité" dataDxfId="98"/>
    <tableColumn id="3" xr3:uid="{01DE13B5-D2D8-4FBD-957D-45E52B165D93}" name="prix HT U LIST" dataDxfId="97" dataCellStyle="Monétaire"/>
    <tableColumn id="4" xr3:uid="{C76F0EA7-F7A9-4B6A-93AC-B81BF7814FC7}" name="total HT list" dataDxfId="96" dataCellStyle="Monétaire">
      <calculatedColumnFormula>Tableau24[[#This Row],[quantité]]*Tableau24[[#This Row],[prix HT U LIST]]</calculatedColumnFormula>
    </tableColumn>
    <tableColumn id="5" xr3:uid="{E57E16E5-309A-4F5F-A94D-7A1D4F98F2A4}" name="Remarque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9D7FF6DF-D9CF-491C-8680-1B36C5F9073C}" name="Tableau762937" displayName="Tableau762937" ref="J37:N39" totalsRowShown="0" headerRowDxfId="30" headerRowBorderDxfId="29" tableBorderDxfId="28">
  <autoFilter ref="J37:N39" xr:uid="{9D7FF6DF-D9CF-491C-8680-1B36C5F9073C}"/>
  <tableColumns count="5">
    <tableColumn id="1" xr3:uid="{3D203563-AA66-4337-AE19-379B7819A1D5}" name="Nom du produit"/>
    <tableColumn id="2" xr3:uid="{85F7AEB3-7EF0-48A3-AC24-5AF377335B12}" name="quantité"/>
    <tableColumn id="3" xr3:uid="{864BA88E-3CC9-4795-A172-807E38575EAD}" name="prix HT U LIST"/>
    <tableColumn id="4" xr3:uid="{9C4B9845-0B29-4B44-A564-ED2290782A7A}" name="total HT list" dataDxfId="27">
      <calculatedColumnFormula>Tableau762937[[#This Row],[quantité]]*Tableau762937[[#This Row],[prix HT U LIST]]</calculatedColumnFormula>
    </tableColumn>
    <tableColumn id="5" xr3:uid="{FA7855A8-C370-467E-B605-0260993CF566}" name="Remarque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953D9EA-9A16-467C-9910-34F9162E1826}" name="Tableau22330" displayName="Tableau22330" ref="B4:F14">
  <autoFilter ref="B4:F14" xr:uid="{0A9FD440-1A50-4789-9AF5-820668A9B935}"/>
  <tableColumns count="5">
    <tableColumn id="1" xr3:uid="{D67DD583-956F-4799-8780-7B6F5C408AC7}" name="Nom du produit" totalsRowLabel="Total"/>
    <tableColumn id="2" xr3:uid="{A4B35088-814A-4ED1-B8B2-FD6A3FA6EC2E}" name="quantité" dataDxfId="26"/>
    <tableColumn id="3" xr3:uid="{C774E747-C9CA-4CA7-8ED3-6D8F2EB83310}" name="prix HT U LIST" dataDxfId="25" totalsRowDxfId="24" dataCellStyle="Monétaire"/>
    <tableColumn id="4" xr3:uid="{7B21753C-B27A-46FE-9AF0-3659F54D7F8C}" name="total HT list" dataDxfId="23" totalsRowDxfId="22" dataCellStyle="Monétaire">
      <calculatedColumnFormula>Tableau22330[[#This Row],[quantité]]*Tableau22330[[#This Row],[prix HT U LIST]]</calculatedColumnFormula>
    </tableColumn>
    <tableColumn id="5" xr3:uid="{E9A236F5-3B50-4534-967B-774AEA9C67FF}" name="Remarque" totalsRowFunction="count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88B740F-DFEB-4117-87BE-D95BA2D13B84}" name="Tableau242431" displayName="Tableau242431" ref="B17:F28" totalsRowShown="0">
  <autoFilter ref="B17:F28" xr:uid="{3F3F5F00-AA7E-4EAF-A4E4-DCA62C284630}"/>
  <tableColumns count="5">
    <tableColumn id="1" xr3:uid="{337D445F-8F91-4505-8F2D-14BAD70689A8}" name="Nom du produit"/>
    <tableColumn id="2" xr3:uid="{81364E8C-4A83-4ADB-8261-8F1BD53AEBE1}" name="quantité" dataDxfId="21"/>
    <tableColumn id="3" xr3:uid="{E5E5B3CB-65D1-469A-860A-C5C1D28EBA64}" name="prix HT U LIST" dataDxfId="20" dataCellStyle="Monétaire"/>
    <tableColumn id="4" xr3:uid="{F29EF0A4-40D0-4CEA-8876-8F8C626D0937}" name="total HT list" dataDxfId="19" dataCellStyle="Monétaire">
      <calculatedColumnFormula>Tableau242431[[#This Row],[quantité]]*Tableau242431[[#This Row],[prix HT U LIST]]</calculatedColumnFormula>
    </tableColumn>
    <tableColumn id="5" xr3:uid="{F1630227-58B0-4C3F-ADD4-7822498434E5}" name="Remarque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0BF0CE5-3DA2-471A-B3CD-AF60212AD06B}" name="Tableau2452532" displayName="Tableau2452532" ref="B40:F66" totalsRowShown="0">
  <autoFilter ref="B40:F66" xr:uid="{CA05BA59-3132-4BD7-9298-092042C22C5A}"/>
  <tableColumns count="5">
    <tableColumn id="1" xr3:uid="{19AF93C8-705F-469D-99D5-E15D492FA8F3}" name="Nom du produit"/>
    <tableColumn id="2" xr3:uid="{5CBE5562-0BE4-411A-97C6-2264CBC9D928}" name="quantité" dataDxfId="18"/>
    <tableColumn id="3" xr3:uid="{0EF36A6B-4EBE-4D0B-B9AA-0148F31F3EBD}" name="prix HT U LIST" dataDxfId="17" dataCellStyle="Monétaire"/>
    <tableColumn id="4" xr3:uid="{C56FCF37-B6AA-40F0-934D-CCA67723AB13}" name="total HT list" dataDxfId="16" dataCellStyle="Monétaire">
      <calculatedColumnFormula>Tableau2452532[[#This Row],[quantité]]*Tableau2452532[[#This Row],[prix HT U LIST]]</calculatedColumnFormula>
    </tableColumn>
    <tableColumn id="5" xr3:uid="{4B4853C6-0E4E-4C56-A20D-5EFE07C2A33E}" name="Remarque" dataDxfId="15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657AC94-D17E-4331-AAFC-773C0CC256AD}" name="Tableau12633" displayName="Tableau12633" ref="B31:F36" totalsRowShown="0">
  <autoFilter ref="B31:F36" xr:uid="{362276FD-886E-43CC-9F35-142FAB159D0B}"/>
  <tableColumns count="5">
    <tableColumn id="1" xr3:uid="{4ECAE030-FCA2-4A51-B303-AFF4086637AD}" name="Nom du produit"/>
    <tableColumn id="2" xr3:uid="{8D6479CE-18F8-48F0-B6E1-167865B30DF0}" name="quantité" dataDxfId="14"/>
    <tableColumn id="3" xr3:uid="{7E31F397-0981-4076-A978-C00377AA6CFE}" name="prix HT U LIST" dataDxfId="13" dataCellStyle="Monétaire"/>
    <tableColumn id="4" xr3:uid="{9C548527-17AD-4207-B95B-ED549C6D862F}" name="total HT list" dataDxfId="12" dataCellStyle="Monétaire"/>
    <tableColumn id="5" xr3:uid="{8269E666-3416-4559-AF1F-475580D101C2}" name="Remarque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B1142065-C976-4187-B91E-5D36F6424F34}" name="Tableau62734" displayName="Tableau62734" ref="J4:N26" totalsRowShown="0" headerRowDxfId="11" headerRowBorderDxfId="10" tableBorderDxfId="9">
  <autoFilter ref="J4:N26" xr:uid="{C6553302-E21E-4CE8-B057-9DD6B02BBD99}"/>
  <tableColumns count="5">
    <tableColumn id="1" xr3:uid="{959A4828-9417-4998-A8DF-D3CB33485410}" name="Nom du produit"/>
    <tableColumn id="2" xr3:uid="{FA126A75-9700-4586-A44A-39B492816D58}" name="quantité"/>
    <tableColumn id="3" xr3:uid="{47E0370A-B351-47CB-A905-568039805991}" name="prix HT U LIST"/>
    <tableColumn id="4" xr3:uid="{1E6F99D7-9AB0-4BD0-96C1-308A30A6EC0D}" name="total HT list" dataDxfId="8">
      <calculatedColumnFormula>Tableau62734[[#This Row],[quantité]]*Tableau62734[[#This Row],[prix HT U LIST]]</calculatedColumnFormula>
    </tableColumn>
    <tableColumn id="5" xr3:uid="{35479506-D715-4D9B-8463-AD6EB8271850}" name="Remarque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F6529820-9C7A-4B18-9AA1-7131713748EF}" name="Tableau72835" displayName="Tableau72835" ref="J30:N36" totalsRowShown="0" headerRowDxfId="7" headerRowBorderDxfId="6" tableBorderDxfId="5">
  <autoFilter ref="J30:N36" xr:uid="{8B6248ED-8D4C-47C0-B730-64B4B6DC7442}"/>
  <tableColumns count="5">
    <tableColumn id="1" xr3:uid="{65C1C8E3-5953-4C58-AFD9-AA4A901DAAB3}" name="Nom du produit"/>
    <tableColumn id="2" xr3:uid="{B86ADC8B-BDEA-413F-854C-B8F8252BF862}" name="quantité"/>
    <tableColumn id="3" xr3:uid="{FD4D7BFA-413D-4739-A67F-9D93795074A4}" name="prix HT U LIST"/>
    <tableColumn id="4" xr3:uid="{0C6F085D-06CF-441E-B3D3-33B25DAF659B}" name="total HT list" dataDxfId="4">
      <calculatedColumnFormula>Tableau72835[[#This Row],[quantité]]*Tableau72835[[#This Row],[prix HT U LIST]]</calculatedColumnFormula>
    </tableColumn>
    <tableColumn id="5" xr3:uid="{9BC57189-F529-4858-85F1-FF5BBB64B371}" name="Remarque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CBCDF89-A6C4-408A-ABBA-09E60EE4B82D}" name="Tableau762936" displayName="Tableau762936" ref="J41:N43" totalsRowShown="0" headerRowDxfId="3" headerRowBorderDxfId="2" tableBorderDxfId="1">
  <autoFilter ref="J41:N43" xr:uid="{B972DB58-87DE-4052-A4A4-5A8B7E19C1B2}"/>
  <tableColumns count="5">
    <tableColumn id="1" xr3:uid="{D7E8F7FF-709B-422C-AC34-9EC5583602F2}" name="Nom du produit"/>
    <tableColumn id="2" xr3:uid="{4CE0FBFE-E759-4E99-A3F7-DF81C03C8D3A}" name="quantité"/>
    <tableColumn id="3" xr3:uid="{2BE64A50-05D9-4563-8D59-F65E34A42D23}" name="prix HT U LIST"/>
    <tableColumn id="4" xr3:uid="{8E221480-86E8-49B3-88DF-6796195A3885}" name="total HT list" dataDxfId="0">
      <calculatedColumnFormula>Tableau762936[[#This Row],[quantité]]*Tableau762936[[#This Row],[prix HT U LIST]]</calculatedColumnFormula>
    </tableColumn>
    <tableColumn id="5" xr3:uid="{791A8C2F-054A-407E-BB88-FDB43CB1939C}" name="Remarque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05BA59-3132-4BD7-9298-092042C22C5A}" name="Tableau245" displayName="Tableau245" ref="B41:F46" totalsRowShown="0">
  <autoFilter ref="B41:F46" xr:uid="{CA05BA59-3132-4BD7-9298-092042C22C5A}"/>
  <tableColumns count="5">
    <tableColumn id="1" xr3:uid="{A8781A9D-4A58-4EF9-9176-E5F731E4011B}" name="Nom du produit"/>
    <tableColumn id="2" xr3:uid="{59D6B4DF-2FBA-45D9-8490-00236C3CDF64}" name="quantité" dataDxfId="95"/>
    <tableColumn id="3" xr3:uid="{791523CA-72E7-490C-BB2D-B48EEA7B21AC}" name="prix HT U LIST" dataDxfId="94" dataCellStyle="Monétaire"/>
    <tableColumn id="4" xr3:uid="{E5722B3A-D2F0-4AD6-B75F-18CA9AF49FD1}" name="total HT list" dataDxfId="93" dataCellStyle="Monétaire">
      <calculatedColumnFormula>Tableau245[[#This Row],[quantité]]*Tableau245[[#This Row],[prix HT U LIST]]</calculatedColumnFormula>
    </tableColumn>
    <tableColumn id="5" xr3:uid="{EE0A2CB0-F0C1-4CED-B69F-679FC33EC335}" name="Remarque" dataDxfId="92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2276FD-886E-43CC-9F35-142FAB159D0B}" name="Tableau1" displayName="Tableau1" ref="B32:F38" totalsRowShown="0">
  <autoFilter ref="B32:F38" xr:uid="{362276FD-886E-43CC-9F35-142FAB159D0B}"/>
  <tableColumns count="5">
    <tableColumn id="1" xr3:uid="{22701DC4-8D83-467C-B673-39B6F12FAB29}" name="Nom du produit"/>
    <tableColumn id="2" xr3:uid="{16F79DB8-ED82-4437-80EF-6DCB533144AB}" name="quantité" dataDxfId="91"/>
    <tableColumn id="3" xr3:uid="{45AEDBDE-D04E-44B7-9557-67FAFF9EAC7D}" name="prix HT U LIST" dataDxfId="90" dataCellStyle="Monétaire"/>
    <tableColumn id="4" xr3:uid="{8E1F2946-F229-4CBE-9707-EA28BC7AC6EB}" name="total HT list" dataDxfId="89" dataCellStyle="Monétaire">
      <calculatedColumnFormula>Tableau1[[#This Row],[quantité]]*Tableau1[[#This Row],[prix HT U LIST]]</calculatedColumnFormula>
    </tableColumn>
    <tableColumn id="5" xr3:uid="{FD71668F-77B4-4FA6-83CB-7177AD5905B8}" name="Remarque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6553302-E21E-4CE8-B057-9DD6B02BBD99}" name="Tableau6" displayName="Tableau6" ref="J4:N25" totalsRowShown="0" headerRowDxfId="88" headerRowBorderDxfId="87" tableBorderDxfId="86">
  <autoFilter ref="J4:N25" xr:uid="{C6553302-E21E-4CE8-B057-9DD6B02BBD99}"/>
  <tableColumns count="5">
    <tableColumn id="1" xr3:uid="{FFD06044-4F7C-4A9D-966C-729803CD9013}" name="Nom du produit"/>
    <tableColumn id="2" xr3:uid="{AD6FBBEF-B937-4717-8B7D-360C46EB0FF3}" name="quantité"/>
    <tableColumn id="3" xr3:uid="{AC6755B2-BE9E-4B94-A567-C55A87BC964F}" name="prix HT U LIST"/>
    <tableColumn id="4" xr3:uid="{C2BC9CC1-DEBA-45D6-9F6E-BF0DABAD0E5F}" name="total HT list" dataDxfId="85">
      <calculatedColumnFormula>Tableau6[[#This Row],[quantité]]*Tableau6[[#This Row],[prix HT U LIST]]</calculatedColumnFormula>
    </tableColumn>
    <tableColumn id="5" xr3:uid="{4D32D1A7-893E-4F37-A142-F52F8C130792}" name="Remarque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972DB58-87DE-4052-A4A4-5A8B7E19C1B2}" name="Tableau76" displayName="Tableau76" ref="J40:N42" totalsRowShown="0" headerRowDxfId="84" headerRowBorderDxfId="83" tableBorderDxfId="82">
  <autoFilter ref="J40:N42" xr:uid="{B972DB58-87DE-4052-A4A4-5A8B7E19C1B2}"/>
  <tableColumns count="5">
    <tableColumn id="1" xr3:uid="{AA83964B-9647-4D9A-BF65-70B1DD14FC44}" name="Nom du produit"/>
    <tableColumn id="2" xr3:uid="{4BD1D4EE-AF51-4D73-9382-975D381D6194}" name="quantité"/>
    <tableColumn id="3" xr3:uid="{1D539DA9-5E51-4E34-99D7-3F93CF5BD060}" name="prix HT U LIST"/>
    <tableColumn id="4" xr3:uid="{B0576E3B-57DB-41EE-8E1B-C33B69AB184C}" name="total HT list" dataDxfId="81">
      <calculatedColumnFormula>Tableau76[[#This Row],[quantité]]*Tableau76[[#This Row],[prix HT U LIST]]</calculatedColumnFormula>
    </tableColumn>
    <tableColumn id="5" xr3:uid="{BF029DA5-EBDF-4474-95EA-563AE01B14CF}" name="Remarque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B13F6BD-4EC7-41E8-899F-020E56BCBF9E}" name="Tableau223" displayName="Tableau223" ref="B4:F14">
  <autoFilter ref="B4:F14" xr:uid="{0A9FD440-1A50-4789-9AF5-820668A9B935}"/>
  <tableColumns count="5">
    <tableColumn id="1" xr3:uid="{38FCA75C-8E15-4723-9C4B-2B6E82489866}" name="Nom du produit" totalsRowLabel="Total"/>
    <tableColumn id="2" xr3:uid="{B2AF4828-3D50-43CF-BA63-6935587B9AE8}" name="quantité" dataDxfId="80"/>
    <tableColumn id="3" xr3:uid="{0E432715-A1F9-4D93-B6E3-FF1B3EA800F0}" name="prix HT U LIST" dataDxfId="79" totalsRowDxfId="78" dataCellStyle="Monétaire"/>
    <tableColumn id="4" xr3:uid="{878AEB18-8FDD-446A-BA0D-3222E0EC3E54}" name="total HT list" dataDxfId="77" totalsRowDxfId="76" dataCellStyle="Monétaire">
      <calculatedColumnFormula>Tableau223[[#This Row],[quantité]]*Tableau223[[#This Row],[prix HT U LIST]]</calculatedColumnFormula>
    </tableColumn>
    <tableColumn id="5" xr3:uid="{498B7716-B13A-46A3-9FCF-33BF4DDEE8A4}" name="Remarque" totalsRowFunction="count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7690969-EEA8-42B5-9B48-70DD9473FB70}" name="Tableau2424" displayName="Tableau2424" ref="B17:F28" totalsRowShown="0">
  <autoFilter ref="B17:F28" xr:uid="{3F3F5F00-AA7E-4EAF-A4E4-DCA62C284630}"/>
  <tableColumns count="5">
    <tableColumn id="1" xr3:uid="{06817A86-B54F-4C63-9A79-78ACD8BFB518}" name="Nom du produit"/>
    <tableColumn id="2" xr3:uid="{EAC13BB8-C2D8-40A8-AF29-0FE94E3DE298}" name="quantité" dataDxfId="75"/>
    <tableColumn id="3" xr3:uid="{28EF6776-D235-4170-9633-CEEE95170906}" name="prix HT U LIST" dataDxfId="74" dataCellStyle="Monétaire"/>
    <tableColumn id="4" xr3:uid="{21462B55-3946-4D72-A1F8-2561049A494B}" name="total HT list" dataDxfId="73" dataCellStyle="Monétaire">
      <calculatedColumnFormula>Tableau2424[[#This Row],[quantité]]*Tableau2424[[#This Row],[prix HT U LIST]]</calculatedColumnFormula>
    </tableColumn>
    <tableColumn id="5" xr3:uid="{1799EDB2-8358-48C7-B660-C89D0AEA6BC1}" name="Remarque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996911DD-C58F-486F-AE77-5FE8027B5889}" name="Tableau24525" displayName="Tableau24525" ref="B40:F45" totalsRowShown="0">
  <autoFilter ref="B40:F45" xr:uid="{CA05BA59-3132-4BD7-9298-092042C22C5A}"/>
  <tableColumns count="5">
    <tableColumn id="1" xr3:uid="{C174642C-07A1-4C34-AB2B-F791EE459170}" name="Nom du produit"/>
    <tableColumn id="2" xr3:uid="{8C3C0392-495C-404C-A9EA-E905B0E0CAFE}" name="quantité" dataDxfId="72"/>
    <tableColumn id="3" xr3:uid="{AD50B09A-E74B-4C15-A4A1-877E93E889B1}" name="prix HT U LIST" dataDxfId="71" dataCellStyle="Monétaire"/>
    <tableColumn id="4" xr3:uid="{99791815-3FFF-4272-89E6-D0589E1BFD4B}" name="total HT list" dataDxfId="70" dataCellStyle="Monétaire">
      <calculatedColumnFormula>Tableau24525[[#This Row],[quantité]]*Tableau24525[[#This Row],[prix HT U LIST]]</calculatedColumnFormula>
    </tableColumn>
    <tableColumn id="5" xr3:uid="{E2644C32-F525-4716-826D-A47BADC96796}" name="Remarque" dataDxfId="69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2" Type="http://schemas.openxmlformats.org/officeDocument/2006/relationships/table" Target="../tables/table15.xml"/><Relationship Id="rId1" Type="http://schemas.openxmlformats.org/officeDocument/2006/relationships/table" Target="../tables/table14.xml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7" Type="http://schemas.openxmlformats.org/officeDocument/2006/relationships/table" Target="../tables/table27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6" Type="http://schemas.openxmlformats.org/officeDocument/2006/relationships/table" Target="../tables/table26.xml"/><Relationship Id="rId5" Type="http://schemas.openxmlformats.org/officeDocument/2006/relationships/table" Target="../tables/table25.xml"/><Relationship Id="rId4" Type="http://schemas.openxmlformats.org/officeDocument/2006/relationships/table" Target="../tables/table2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0CE78-EB5C-41D4-81C4-7E3835D0CBB1}">
  <sheetPr>
    <pageSetUpPr fitToPage="1"/>
  </sheetPr>
  <dimension ref="A1:I32"/>
  <sheetViews>
    <sheetView tabSelected="1" workbookViewId="0">
      <selection activeCell="K11" sqref="K11"/>
    </sheetView>
  </sheetViews>
  <sheetFormatPr baseColWidth="10" defaultColWidth="11.42578125" defaultRowHeight="15" x14ac:dyDescent="0.25"/>
  <cols>
    <col min="1" max="1" width="7.85546875" bestFit="1" customWidth="1"/>
    <col min="2" max="2" width="25.28515625" customWidth="1"/>
    <col min="3" max="3" width="5.85546875" customWidth="1"/>
    <col min="4" max="4" width="6" customWidth="1"/>
    <col min="5" max="5" width="7.42578125" customWidth="1"/>
    <col min="6" max="6" width="6.85546875" bestFit="1" customWidth="1"/>
    <col min="7" max="7" width="37.140625" customWidth="1"/>
    <col min="8" max="8" width="5.5703125" bestFit="1" customWidth="1"/>
    <col min="9" max="9" width="5.42578125" customWidth="1"/>
  </cols>
  <sheetData>
    <row r="1" spans="1:9" ht="38.25" customHeight="1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x14ac:dyDescent="0.25">
      <c r="C2" s="8" t="s">
        <v>1</v>
      </c>
      <c r="D2" s="8" t="s">
        <v>2</v>
      </c>
      <c r="H2" s="8" t="s">
        <v>1</v>
      </c>
      <c r="I2" s="8" t="s">
        <v>2</v>
      </c>
    </row>
    <row r="3" spans="1:9" x14ac:dyDescent="0.25">
      <c r="A3" s="7">
        <v>45366</v>
      </c>
      <c r="B3" s="11"/>
      <c r="C3" s="8"/>
      <c r="D3" s="8"/>
      <c r="F3" s="7">
        <v>45395</v>
      </c>
      <c r="G3" s="11"/>
      <c r="H3" s="8"/>
      <c r="I3" s="8"/>
    </row>
    <row r="4" spans="1:9" x14ac:dyDescent="0.25">
      <c r="A4" s="7">
        <v>45367</v>
      </c>
      <c r="B4" s="11"/>
      <c r="C4" s="8"/>
      <c r="D4" s="8"/>
      <c r="F4" s="7">
        <v>45396</v>
      </c>
      <c r="G4" s="11"/>
      <c r="H4" s="8"/>
      <c r="I4" s="8"/>
    </row>
    <row r="5" spans="1:9" x14ac:dyDescent="0.25">
      <c r="A5" s="7">
        <v>45368</v>
      </c>
      <c r="B5" s="11"/>
      <c r="C5" s="8"/>
      <c r="D5" s="8"/>
      <c r="F5" s="7">
        <v>45397</v>
      </c>
      <c r="G5" s="11"/>
      <c r="H5" s="8"/>
      <c r="I5" s="8"/>
    </row>
    <row r="6" spans="1:9" x14ac:dyDescent="0.25">
      <c r="A6" s="7">
        <v>45369</v>
      </c>
      <c r="B6" s="11"/>
      <c r="C6" s="8"/>
      <c r="D6" s="8"/>
      <c r="F6" s="7">
        <v>45398</v>
      </c>
      <c r="G6" s="11"/>
      <c r="H6" s="8"/>
      <c r="I6" s="8"/>
    </row>
    <row r="7" spans="1:9" x14ac:dyDescent="0.25">
      <c r="A7" s="7">
        <v>45370</v>
      </c>
      <c r="B7" s="11"/>
      <c r="C7" s="8"/>
      <c r="D7" s="8"/>
      <c r="F7" s="7">
        <v>45399</v>
      </c>
      <c r="G7" s="11"/>
      <c r="H7" s="8"/>
      <c r="I7" s="8"/>
    </row>
    <row r="8" spans="1:9" x14ac:dyDescent="0.25">
      <c r="A8" s="7">
        <v>45371</v>
      </c>
      <c r="B8" s="11"/>
      <c r="C8" s="8"/>
      <c r="D8" s="8"/>
      <c r="F8" s="7">
        <v>45400</v>
      </c>
      <c r="G8" s="11"/>
      <c r="H8" s="8"/>
      <c r="I8" s="8"/>
    </row>
    <row r="9" spans="1:9" x14ac:dyDescent="0.25">
      <c r="A9" s="7">
        <v>45372</v>
      </c>
      <c r="B9" s="11"/>
      <c r="C9" s="8"/>
      <c r="D9" s="8"/>
      <c r="F9" s="7">
        <v>45401</v>
      </c>
      <c r="G9" s="11"/>
      <c r="H9" s="8"/>
      <c r="I9" s="8"/>
    </row>
    <row r="10" spans="1:9" x14ac:dyDescent="0.25">
      <c r="A10" s="7">
        <v>45373</v>
      </c>
      <c r="B10" s="11"/>
      <c r="C10" s="8"/>
      <c r="D10" s="8"/>
      <c r="F10" s="7">
        <v>45402</v>
      </c>
      <c r="G10" s="11"/>
      <c r="H10" s="8"/>
      <c r="I10" s="8"/>
    </row>
    <row r="11" spans="1:9" x14ac:dyDescent="0.25">
      <c r="A11" s="7">
        <v>45374</v>
      </c>
      <c r="B11" s="11"/>
      <c r="C11" s="8"/>
      <c r="D11" s="8"/>
      <c r="F11" s="7">
        <v>45403</v>
      </c>
      <c r="G11" s="11"/>
      <c r="H11" s="8"/>
      <c r="I11" s="8"/>
    </row>
    <row r="12" spans="1:9" x14ac:dyDescent="0.25">
      <c r="A12" s="7">
        <v>45375</v>
      </c>
      <c r="B12" s="11"/>
      <c r="C12" s="8"/>
      <c r="D12" s="8"/>
      <c r="F12" s="7">
        <v>45404</v>
      </c>
      <c r="G12" s="11"/>
      <c r="H12" s="8"/>
      <c r="I12" s="8"/>
    </row>
    <row r="13" spans="1:9" x14ac:dyDescent="0.25">
      <c r="A13" s="7">
        <v>45376</v>
      </c>
      <c r="B13" s="11"/>
      <c r="C13" s="8"/>
      <c r="D13" s="8"/>
      <c r="F13" s="7">
        <v>45405</v>
      </c>
      <c r="G13" s="11"/>
      <c r="H13" s="8"/>
      <c r="I13" s="8"/>
    </row>
    <row r="14" spans="1:9" x14ac:dyDescent="0.25">
      <c r="A14" s="7">
        <v>45377</v>
      </c>
      <c r="B14" s="11"/>
      <c r="C14" s="8"/>
      <c r="D14" s="8"/>
      <c r="F14" s="7">
        <v>45406</v>
      </c>
      <c r="G14" s="11"/>
      <c r="H14" s="8"/>
      <c r="I14" s="8"/>
    </row>
    <row r="15" spans="1:9" x14ac:dyDescent="0.25">
      <c r="A15" s="7">
        <v>45378</v>
      </c>
      <c r="B15" s="12" t="s">
        <v>3</v>
      </c>
      <c r="C15" s="9">
        <v>2</v>
      </c>
      <c r="D15" s="9">
        <v>1</v>
      </c>
      <c r="F15" s="7">
        <v>45407</v>
      </c>
      <c r="G15" s="11"/>
      <c r="H15" s="8"/>
      <c r="I15" s="8"/>
    </row>
    <row r="16" spans="1:9" ht="30" x14ac:dyDescent="0.25">
      <c r="A16" s="7">
        <v>45379</v>
      </c>
      <c r="B16" s="13" t="s">
        <v>4</v>
      </c>
      <c r="C16" s="10">
        <v>0</v>
      </c>
      <c r="D16" s="10">
        <v>2</v>
      </c>
      <c r="F16" s="7">
        <v>45408</v>
      </c>
      <c r="G16" s="11"/>
      <c r="H16" s="8"/>
      <c r="I16" s="8"/>
    </row>
    <row r="17" spans="1:9" x14ac:dyDescent="0.25">
      <c r="A17" s="7">
        <v>45380</v>
      </c>
      <c r="B17" s="14" t="s">
        <v>5</v>
      </c>
      <c r="C17" s="15">
        <v>2</v>
      </c>
      <c r="D17" s="15">
        <v>2</v>
      </c>
      <c r="F17" s="7">
        <v>45409</v>
      </c>
      <c r="G17" s="11"/>
      <c r="H17" s="8"/>
      <c r="I17" s="8"/>
    </row>
    <row r="18" spans="1:9" x14ac:dyDescent="0.25">
      <c r="A18" s="7">
        <v>45381</v>
      </c>
      <c r="B18" s="14" t="s">
        <v>6</v>
      </c>
      <c r="C18" s="15">
        <v>2</v>
      </c>
      <c r="D18" s="15">
        <v>2</v>
      </c>
      <c r="F18" s="7">
        <v>45410</v>
      </c>
      <c r="G18" s="11"/>
      <c r="H18" s="8"/>
      <c r="I18" s="8"/>
    </row>
    <row r="19" spans="1:9" x14ac:dyDescent="0.25">
      <c r="A19" s="7">
        <v>45382</v>
      </c>
      <c r="B19" s="11"/>
      <c r="C19" s="8"/>
      <c r="D19" s="8"/>
      <c r="F19" s="7">
        <v>45411</v>
      </c>
      <c r="G19" s="11"/>
      <c r="H19" s="8"/>
      <c r="I19" s="8"/>
    </row>
    <row r="20" spans="1:9" x14ac:dyDescent="0.25">
      <c r="A20" s="7">
        <v>45383</v>
      </c>
      <c r="B20" s="11"/>
      <c r="C20" s="8"/>
      <c r="D20" s="8"/>
      <c r="F20" s="7">
        <v>45412</v>
      </c>
      <c r="G20" s="11"/>
      <c r="H20" s="8"/>
      <c r="I20" s="8"/>
    </row>
    <row r="21" spans="1:9" x14ac:dyDescent="0.25">
      <c r="A21" s="7">
        <v>45384</v>
      </c>
      <c r="B21" s="11"/>
      <c r="C21" s="8"/>
      <c r="D21" s="8"/>
      <c r="F21" s="7">
        <v>45413</v>
      </c>
      <c r="G21" s="12" t="s">
        <v>7</v>
      </c>
      <c r="H21" s="9">
        <v>1</v>
      </c>
      <c r="I21" s="9">
        <v>1</v>
      </c>
    </row>
    <row r="22" spans="1:9" x14ac:dyDescent="0.25">
      <c r="A22" s="7">
        <v>45385</v>
      </c>
      <c r="B22" s="11"/>
      <c r="C22" s="8"/>
      <c r="D22" s="8"/>
      <c r="F22" s="7">
        <v>45414</v>
      </c>
      <c r="G22" s="12" t="s">
        <v>8</v>
      </c>
      <c r="H22" s="9">
        <v>0</v>
      </c>
      <c r="I22" s="9">
        <v>2</v>
      </c>
    </row>
    <row r="23" spans="1:9" x14ac:dyDescent="0.25">
      <c r="A23" s="7">
        <v>45386</v>
      </c>
      <c r="B23" s="8"/>
      <c r="C23" s="8"/>
      <c r="D23" s="8"/>
      <c r="F23" s="7">
        <v>45415</v>
      </c>
      <c r="G23" s="14" t="s">
        <v>10</v>
      </c>
      <c r="H23" s="15">
        <v>2</v>
      </c>
      <c r="I23" s="15">
        <v>2</v>
      </c>
    </row>
    <row r="24" spans="1:9" x14ac:dyDescent="0.25">
      <c r="A24" s="7">
        <v>45387</v>
      </c>
      <c r="B24" s="14" t="s">
        <v>9</v>
      </c>
      <c r="C24" s="15">
        <v>2</v>
      </c>
      <c r="D24" s="15">
        <v>2</v>
      </c>
      <c r="F24" s="7">
        <v>45416</v>
      </c>
      <c r="G24" s="12" t="s">
        <v>12</v>
      </c>
      <c r="H24" s="9">
        <v>2</v>
      </c>
      <c r="I24" s="9">
        <v>1</v>
      </c>
    </row>
    <row r="25" spans="1:9" x14ac:dyDescent="0.25">
      <c r="A25" s="7">
        <v>45388</v>
      </c>
      <c r="B25" s="14" t="s">
        <v>11</v>
      </c>
      <c r="C25" s="15">
        <v>2</v>
      </c>
      <c r="D25" s="15">
        <v>2</v>
      </c>
      <c r="F25" s="7">
        <v>45417</v>
      </c>
      <c r="G25" s="11"/>
      <c r="H25" s="8"/>
      <c r="I25" s="8"/>
    </row>
    <row r="26" spans="1:9" x14ac:dyDescent="0.25">
      <c r="A26" s="7">
        <v>45389</v>
      </c>
      <c r="B26" s="12" t="s">
        <v>12</v>
      </c>
      <c r="C26" s="9">
        <v>2</v>
      </c>
      <c r="D26" s="9">
        <v>1</v>
      </c>
      <c r="F26" s="7">
        <v>45418</v>
      </c>
      <c r="G26" s="11"/>
      <c r="H26" s="8"/>
      <c r="I26" s="8"/>
    </row>
    <row r="27" spans="1:9" x14ac:dyDescent="0.25">
      <c r="A27" s="7">
        <v>45390</v>
      </c>
      <c r="B27" s="11"/>
      <c r="C27" s="8"/>
      <c r="D27" s="8"/>
      <c r="F27" s="7">
        <v>45419</v>
      </c>
      <c r="G27" s="11"/>
      <c r="H27" s="8"/>
      <c r="I27" s="8"/>
    </row>
    <row r="28" spans="1:9" x14ac:dyDescent="0.25">
      <c r="A28" s="7">
        <v>45391</v>
      </c>
      <c r="B28" s="11"/>
      <c r="C28" s="8"/>
      <c r="D28" s="8"/>
      <c r="F28" s="7">
        <v>45420</v>
      </c>
      <c r="G28" s="12" t="s">
        <v>7</v>
      </c>
      <c r="H28" s="9">
        <v>6</v>
      </c>
      <c r="I28" s="9">
        <v>2</v>
      </c>
    </row>
    <row r="29" spans="1:9" x14ac:dyDescent="0.25">
      <c r="A29" s="7">
        <v>45392</v>
      </c>
      <c r="B29" s="11"/>
      <c r="C29" s="8"/>
      <c r="D29" s="8"/>
      <c r="F29" s="7">
        <v>45421</v>
      </c>
      <c r="G29" s="12" t="s">
        <v>13</v>
      </c>
      <c r="H29" s="9">
        <v>1</v>
      </c>
      <c r="I29" s="9">
        <v>2</v>
      </c>
    </row>
    <row r="30" spans="1:9" x14ac:dyDescent="0.25">
      <c r="A30" s="7">
        <v>45393</v>
      </c>
      <c r="B30" s="11"/>
      <c r="C30" s="8"/>
      <c r="D30" s="8"/>
      <c r="F30" s="7">
        <v>45422</v>
      </c>
      <c r="G30" s="14" t="s">
        <v>14</v>
      </c>
      <c r="H30" s="15">
        <v>2</v>
      </c>
      <c r="I30" s="15">
        <v>2</v>
      </c>
    </row>
    <row r="31" spans="1:9" x14ac:dyDescent="0.25">
      <c r="A31" s="7">
        <v>45394</v>
      </c>
      <c r="B31" s="11"/>
      <c r="C31" s="8"/>
      <c r="D31" s="8"/>
      <c r="F31" s="7">
        <v>45423</v>
      </c>
      <c r="G31" s="14" t="s">
        <v>15</v>
      </c>
      <c r="H31" s="15">
        <v>2</v>
      </c>
      <c r="I31" s="15">
        <v>2</v>
      </c>
    </row>
    <row r="32" spans="1:9" x14ac:dyDescent="0.25">
      <c r="A32" s="7">
        <v>45395</v>
      </c>
      <c r="B32" s="11"/>
      <c r="C32" s="8"/>
      <c r="D32" s="8"/>
      <c r="F32" s="7">
        <v>45424</v>
      </c>
      <c r="G32" s="12" t="s">
        <v>12</v>
      </c>
      <c r="H32" s="9">
        <v>6</v>
      </c>
      <c r="I32" s="9">
        <v>1</v>
      </c>
    </row>
  </sheetData>
  <mergeCells count="1">
    <mergeCell ref="A1:I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AE903-5B03-44C3-865A-ECB894056868}">
  <dimension ref="A1:D58"/>
  <sheetViews>
    <sheetView topLeftCell="A21" zoomScaleNormal="100" workbookViewId="0">
      <selection activeCell="C37" sqref="C37"/>
    </sheetView>
  </sheetViews>
  <sheetFormatPr baseColWidth="10" defaultColWidth="11.42578125" defaultRowHeight="15" x14ac:dyDescent="0.25"/>
  <cols>
    <col min="1" max="1" width="46.140625" customWidth="1"/>
    <col min="2" max="2" width="57" customWidth="1"/>
    <col min="3" max="3" width="37" customWidth="1"/>
    <col min="4" max="4" width="41.85546875" customWidth="1"/>
  </cols>
  <sheetData>
    <row r="1" spans="1:4" ht="35.25" customHeight="1" thickBot="1" x14ac:dyDescent="0.3">
      <c r="A1" s="54" t="s">
        <v>167</v>
      </c>
      <c r="B1" s="54" t="s">
        <v>168</v>
      </c>
      <c r="C1" s="54" t="s">
        <v>180</v>
      </c>
      <c r="D1" s="54" t="s">
        <v>181</v>
      </c>
    </row>
    <row r="2" spans="1:4" x14ac:dyDescent="0.25">
      <c r="A2" s="67" t="s">
        <v>205</v>
      </c>
      <c r="B2" s="48" t="s">
        <v>169</v>
      </c>
      <c r="C2" s="48" t="s">
        <v>16</v>
      </c>
      <c r="D2" s="49"/>
    </row>
    <row r="3" spans="1:4" x14ac:dyDescent="0.25">
      <c r="A3" s="68"/>
      <c r="B3" s="33" t="s">
        <v>170</v>
      </c>
      <c r="C3" s="33"/>
      <c r="D3" s="50" t="s">
        <v>17</v>
      </c>
    </row>
    <row r="4" spans="1:4" ht="15.75" thickBot="1" x14ac:dyDescent="0.3">
      <c r="A4" s="69"/>
      <c r="B4" s="51" t="s">
        <v>171</v>
      </c>
      <c r="C4" s="51"/>
      <c r="D4" s="52" t="s">
        <v>18</v>
      </c>
    </row>
    <row r="5" spans="1:4" x14ac:dyDescent="0.25">
      <c r="A5" s="67" t="s">
        <v>19</v>
      </c>
      <c r="B5" s="48" t="s">
        <v>172</v>
      </c>
      <c r="C5" s="48"/>
      <c r="D5" s="49" t="s">
        <v>175</v>
      </c>
    </row>
    <row r="6" spans="1:4" x14ac:dyDescent="0.25">
      <c r="A6" s="68"/>
      <c r="B6" s="33" t="s">
        <v>173</v>
      </c>
      <c r="C6" s="33"/>
      <c r="D6" s="50" t="s">
        <v>176</v>
      </c>
    </row>
    <row r="7" spans="1:4" ht="15.75" customHeight="1" thickBot="1" x14ac:dyDescent="0.3">
      <c r="A7" s="69"/>
      <c r="B7" s="51" t="s">
        <v>174</v>
      </c>
      <c r="C7" s="53"/>
      <c r="D7" s="52" t="s">
        <v>177</v>
      </c>
    </row>
    <row r="8" spans="1:4" ht="18.75" x14ac:dyDescent="0.25">
      <c r="A8" s="70" t="s">
        <v>20</v>
      </c>
      <c r="B8" s="71"/>
      <c r="C8" s="71"/>
      <c r="D8" s="72"/>
    </row>
    <row r="9" spans="1:4" ht="90" x14ac:dyDescent="0.25">
      <c r="A9" s="57" t="s">
        <v>178</v>
      </c>
      <c r="B9" s="58" t="s">
        <v>179</v>
      </c>
      <c r="C9" s="58" t="s">
        <v>21</v>
      </c>
      <c r="D9" s="59" t="s">
        <v>186</v>
      </c>
    </row>
    <row r="10" spans="1:4" ht="135" x14ac:dyDescent="0.25">
      <c r="A10" s="57" t="s">
        <v>22</v>
      </c>
      <c r="B10" s="58" t="s">
        <v>182</v>
      </c>
      <c r="C10" s="58" t="s">
        <v>187</v>
      </c>
      <c r="D10" s="59" t="s">
        <v>188</v>
      </c>
    </row>
    <row r="11" spans="1:4" ht="90" x14ac:dyDescent="0.25">
      <c r="A11" s="57" t="s">
        <v>23</v>
      </c>
      <c r="B11" s="58" t="s">
        <v>183</v>
      </c>
      <c r="C11" s="58" t="s">
        <v>24</v>
      </c>
      <c r="D11" s="59" t="s">
        <v>189</v>
      </c>
    </row>
    <row r="12" spans="1:4" x14ac:dyDescent="0.25">
      <c r="A12" s="55"/>
      <c r="B12" s="55"/>
      <c r="C12" s="55"/>
      <c r="D12" s="55"/>
    </row>
    <row r="13" spans="1:4" ht="135" x14ac:dyDescent="0.25">
      <c r="A13" s="55" t="s">
        <v>25</v>
      </c>
      <c r="B13" s="55" t="s">
        <v>184</v>
      </c>
      <c r="C13" s="55" t="s">
        <v>26</v>
      </c>
      <c r="D13" s="55" t="s">
        <v>190</v>
      </c>
    </row>
    <row r="14" spans="1:4" x14ac:dyDescent="0.25">
      <c r="A14" s="55"/>
      <c r="B14" s="55"/>
      <c r="C14" s="55"/>
      <c r="D14" s="56"/>
    </row>
    <row r="15" spans="1:4" ht="75" x14ac:dyDescent="0.25">
      <c r="A15" s="55" t="s">
        <v>27</v>
      </c>
      <c r="B15" s="55" t="s">
        <v>185</v>
      </c>
      <c r="C15" s="55"/>
      <c r="D15" s="55" t="s">
        <v>28</v>
      </c>
    </row>
    <row r="16" spans="1:4" ht="15.75" thickBot="1" x14ac:dyDescent="0.3">
      <c r="A16" s="33"/>
      <c r="B16" s="33"/>
      <c r="C16" s="33"/>
      <c r="D16" s="30"/>
    </row>
    <row r="17" spans="1:4" ht="15.75" thickBot="1" x14ac:dyDescent="0.3">
      <c r="A17" s="33"/>
      <c r="B17" s="33"/>
      <c r="C17" s="33"/>
    </row>
    <row r="18" spans="1:4" ht="30.75" thickBot="1" x14ac:dyDescent="0.3">
      <c r="A18" s="32" t="s">
        <v>29</v>
      </c>
      <c r="B18" s="32"/>
      <c r="C18" s="32" t="s">
        <v>30</v>
      </c>
    </row>
    <row r="19" spans="1:4" ht="15.75" thickBot="1" x14ac:dyDescent="0.3">
      <c r="A19" s="31"/>
      <c r="B19" s="31"/>
      <c r="C19" s="30"/>
    </row>
    <row r="20" spans="1:4" ht="15.75" thickBot="1" x14ac:dyDescent="0.3">
      <c r="A20" s="65" t="s">
        <v>31</v>
      </c>
      <c r="B20" s="29"/>
      <c r="C20" s="28"/>
      <c r="D20" s="22"/>
    </row>
    <row r="21" spans="1:4" ht="30.75" thickBot="1" x14ac:dyDescent="0.3">
      <c r="A21" s="29" t="s">
        <v>32</v>
      </c>
      <c r="B21" s="29"/>
      <c r="C21" s="28" t="s">
        <v>208</v>
      </c>
      <c r="D21" s="22"/>
    </row>
    <row r="22" spans="1:4" ht="15.75" thickBot="1" x14ac:dyDescent="0.3">
      <c r="A22" s="29" t="s">
        <v>33</v>
      </c>
      <c r="B22" s="29"/>
      <c r="C22" s="28" t="s">
        <v>34</v>
      </c>
      <c r="D22" s="22"/>
    </row>
    <row r="23" spans="1:4" ht="15.75" thickBot="1" x14ac:dyDescent="0.3">
      <c r="A23" s="29" t="s">
        <v>35</v>
      </c>
      <c r="B23" s="29"/>
      <c r="C23" s="28" t="s">
        <v>36</v>
      </c>
      <c r="D23" s="22"/>
    </row>
    <row r="24" spans="1:4" ht="15.75" thickBot="1" x14ac:dyDescent="0.3">
      <c r="A24" s="27" t="s">
        <v>37</v>
      </c>
      <c r="B24" s="27"/>
      <c r="C24" s="27" t="s">
        <v>38</v>
      </c>
      <c r="D24" s="27"/>
    </row>
    <row r="25" spans="1:4" x14ac:dyDescent="0.25">
      <c r="A25" s="24" t="s">
        <v>39</v>
      </c>
      <c r="B25" s="24"/>
      <c r="C25" s="26" t="s">
        <v>40</v>
      </c>
      <c r="D25" s="22"/>
    </row>
    <row r="26" spans="1:4" ht="30" x14ac:dyDescent="0.25">
      <c r="A26" s="24" t="s">
        <v>41</v>
      </c>
      <c r="B26" s="24"/>
      <c r="C26" s="26" t="s">
        <v>42</v>
      </c>
      <c r="D26" s="22"/>
    </row>
    <row r="27" spans="1:4" x14ac:dyDescent="0.25">
      <c r="A27" s="24" t="s">
        <v>43</v>
      </c>
      <c r="B27" s="24"/>
      <c r="C27" s="26" t="s">
        <v>44</v>
      </c>
      <c r="D27" s="22"/>
    </row>
    <row r="28" spans="1:4" ht="30" x14ac:dyDescent="0.25">
      <c r="A28" s="24" t="s">
        <v>45</v>
      </c>
      <c r="B28" s="24"/>
      <c r="C28" s="26" t="s">
        <v>46</v>
      </c>
      <c r="D28" s="22"/>
    </row>
    <row r="29" spans="1:4" ht="30" x14ac:dyDescent="0.25">
      <c r="A29" s="24" t="s">
        <v>47</v>
      </c>
      <c r="B29" s="24"/>
      <c r="C29" s="26" t="s">
        <v>48</v>
      </c>
      <c r="D29" s="22"/>
    </row>
    <row r="30" spans="1:4" ht="30" x14ac:dyDescent="0.25">
      <c r="A30" s="24" t="s">
        <v>49</v>
      </c>
      <c r="B30" s="24"/>
      <c r="C30" s="26" t="s">
        <v>50</v>
      </c>
      <c r="D30" s="22"/>
    </row>
    <row r="31" spans="1:4" x14ac:dyDescent="0.25">
      <c r="A31" s="24" t="s">
        <v>51</v>
      </c>
      <c r="B31" s="46"/>
      <c r="C31" s="25" t="s">
        <v>52</v>
      </c>
      <c r="D31" s="22"/>
    </row>
    <row r="32" spans="1:4" ht="30" x14ac:dyDescent="0.25">
      <c r="A32" s="24" t="s">
        <v>53</v>
      </c>
      <c r="B32" s="47"/>
      <c r="C32" s="23" t="s">
        <v>54</v>
      </c>
      <c r="D32" s="22"/>
    </row>
    <row r="33" spans="1:4" x14ac:dyDescent="0.25">
      <c r="A33" s="24" t="s">
        <v>55</v>
      </c>
      <c r="B33" s="47"/>
      <c r="C33" s="23" t="s">
        <v>56</v>
      </c>
      <c r="D33" s="22"/>
    </row>
    <row r="35" spans="1:4" ht="30" x14ac:dyDescent="0.25">
      <c r="A35" s="21" t="s">
        <v>57</v>
      </c>
      <c r="B35" s="21"/>
      <c r="C35" s="20" t="s">
        <v>206</v>
      </c>
      <c r="D35" s="19" t="s">
        <v>218</v>
      </c>
    </row>
    <row r="37" spans="1:4" ht="30" x14ac:dyDescent="0.25">
      <c r="A37" t="s">
        <v>58</v>
      </c>
      <c r="C37" s="19" t="s">
        <v>59</v>
      </c>
      <c r="D37" t="s">
        <v>207</v>
      </c>
    </row>
    <row r="39" spans="1:4" x14ac:dyDescent="0.25">
      <c r="A39" t="s">
        <v>216</v>
      </c>
    </row>
    <row r="41" spans="1:4" x14ac:dyDescent="0.25">
      <c r="A41" t="s">
        <v>217</v>
      </c>
    </row>
    <row r="43" spans="1:4" x14ac:dyDescent="0.25">
      <c r="A43" t="s">
        <v>211</v>
      </c>
    </row>
    <row r="45" spans="1:4" x14ac:dyDescent="0.25">
      <c r="A45" t="s">
        <v>214</v>
      </c>
    </row>
    <row r="47" spans="1:4" x14ac:dyDescent="0.25">
      <c r="A47" t="s">
        <v>209</v>
      </c>
      <c r="C47" t="s">
        <v>222</v>
      </c>
    </row>
    <row r="49" spans="1:3" x14ac:dyDescent="0.25">
      <c r="A49" t="s">
        <v>219</v>
      </c>
    </row>
    <row r="51" spans="1:3" x14ac:dyDescent="0.25">
      <c r="A51" t="s">
        <v>210</v>
      </c>
    </row>
    <row r="53" spans="1:3" x14ac:dyDescent="0.25">
      <c r="A53" t="s">
        <v>212</v>
      </c>
      <c r="C53" s="19" t="s">
        <v>220</v>
      </c>
    </row>
    <row r="55" spans="1:3" x14ac:dyDescent="0.25">
      <c r="A55" t="s">
        <v>213</v>
      </c>
    </row>
    <row r="57" spans="1:3" x14ac:dyDescent="0.25">
      <c r="A57" t="s">
        <v>215</v>
      </c>
    </row>
    <row r="58" spans="1:3" x14ac:dyDescent="0.25">
      <c r="C58" t="s">
        <v>221</v>
      </c>
    </row>
  </sheetData>
  <mergeCells count="3">
    <mergeCell ref="A2:A4"/>
    <mergeCell ref="A5:A7"/>
    <mergeCell ref="A8:D8"/>
  </mergeCells>
  <pageMargins left="0.7" right="0.7" top="0.75" bottom="0.75" header="0.3" footer="0.3"/>
  <pageSetup paperSize="262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9CA06-797B-4895-8475-14CA61DA2607}">
  <sheetPr>
    <tabColor rgb="FF0070C0"/>
  </sheetPr>
  <dimension ref="A1:K30"/>
  <sheetViews>
    <sheetView zoomScale="113" workbookViewId="0">
      <selection activeCell="K3" sqref="K3"/>
    </sheetView>
  </sheetViews>
  <sheetFormatPr baseColWidth="10" defaultRowHeight="15" x14ac:dyDescent="0.25"/>
  <cols>
    <col min="1" max="1" width="21.28515625" bestFit="1" customWidth="1"/>
    <col min="2" max="2" width="15.28515625" bestFit="1" customWidth="1"/>
    <col min="3" max="3" width="15.28515625" customWidth="1"/>
    <col min="5" max="5" width="26.42578125" bestFit="1" customWidth="1"/>
    <col min="6" max="8" width="13" bestFit="1" customWidth="1"/>
    <col min="11" max="11" width="14.28515625" bestFit="1" customWidth="1"/>
  </cols>
  <sheetData>
    <row r="1" spans="1:11" x14ac:dyDescent="0.25">
      <c r="B1" t="s">
        <v>223</v>
      </c>
      <c r="F1" t="s">
        <v>223</v>
      </c>
      <c r="G1" t="s">
        <v>224</v>
      </c>
      <c r="H1" t="s">
        <v>225</v>
      </c>
    </row>
    <row r="2" spans="1:11" x14ac:dyDescent="0.25">
      <c r="A2" s="39" t="s">
        <v>151</v>
      </c>
      <c r="B2" s="40">
        <f>SUM(B3:B6)</f>
        <v>32166.383999999998</v>
      </c>
      <c r="C2" s="40"/>
      <c r="E2" s="39" t="s">
        <v>156</v>
      </c>
      <c r="F2" s="42">
        <f>SUM(F3:F6)</f>
        <v>17652.383999999998</v>
      </c>
      <c r="G2" s="42">
        <f>SUM(G3:G6)-2200</f>
        <v>20190.830000000002</v>
      </c>
      <c r="H2" s="63">
        <f>SUM(H3:H6)</f>
        <v>17813.27</v>
      </c>
    </row>
    <row r="3" spans="1:11" x14ac:dyDescent="0.25">
      <c r="A3" t="s">
        <v>152</v>
      </c>
      <c r="B3" s="41">
        <f>'CHIFFRAGE MAICHE WE1'!G1</f>
        <v>7579.0959999999995</v>
      </c>
      <c r="C3" s="41"/>
      <c r="E3" t="s">
        <v>157</v>
      </c>
      <c r="F3" s="43">
        <f>'CHIFFRAGE MAICHE WE1'!G2</f>
        <v>3954.0959999999991</v>
      </c>
      <c r="G3" s="43">
        <v>10235.82</v>
      </c>
      <c r="H3" s="64">
        <v>6775.76</v>
      </c>
      <c r="I3" t="s">
        <v>202</v>
      </c>
    </row>
    <row r="4" spans="1:11" x14ac:dyDescent="0.25">
      <c r="A4" t="s">
        <v>153</v>
      </c>
      <c r="B4" s="41">
        <f>'CHIFFRAGE MAICHE WE2'!G1</f>
        <v>7760.9359999999988</v>
      </c>
      <c r="C4" s="41"/>
      <c r="E4" t="s">
        <v>158</v>
      </c>
      <c r="F4" s="43">
        <f>'CHIFFRAGE MAICHE WE2'!G2</f>
        <v>4167.9359999999988</v>
      </c>
      <c r="G4" s="43"/>
      <c r="H4" s="64"/>
      <c r="I4" s="64">
        <v>3588</v>
      </c>
    </row>
    <row r="5" spans="1:11" x14ac:dyDescent="0.25">
      <c r="A5" t="s">
        <v>154</v>
      </c>
      <c r="B5" s="41">
        <f>'CHIFFRAGE MORTEAU'!G1</f>
        <v>4940.4400000000005</v>
      </c>
      <c r="C5" s="41"/>
      <c r="E5" t="s">
        <v>159</v>
      </c>
      <c r="F5" s="43">
        <f>'CHIFFRAGE MORTEAU'!G2</f>
        <v>2017.44</v>
      </c>
      <c r="G5" s="43">
        <v>3020.5</v>
      </c>
      <c r="H5" s="64">
        <v>2599.0700000000002</v>
      </c>
    </row>
    <row r="6" spans="1:11" x14ac:dyDescent="0.25">
      <c r="A6" t="s">
        <v>155</v>
      </c>
      <c r="B6" s="41">
        <f>'CHIFFRAGE RUSSEY WE4'!G1</f>
        <v>11885.911999999998</v>
      </c>
      <c r="C6" s="41"/>
      <c r="E6" t="s">
        <v>160</v>
      </c>
      <c r="F6" s="43">
        <f>'CHIFFRAGE RUSSEY WE4'!G2</f>
        <v>7512.9119999999984</v>
      </c>
      <c r="G6" s="43">
        <v>9134.51</v>
      </c>
      <c r="H6" s="64">
        <v>8438.44</v>
      </c>
    </row>
    <row r="7" spans="1:11" x14ac:dyDescent="0.25">
      <c r="G7" s="43"/>
      <c r="H7" s="64"/>
    </row>
    <row r="8" spans="1:11" x14ac:dyDescent="0.25">
      <c r="G8" s="43"/>
      <c r="H8" s="64"/>
    </row>
    <row r="9" spans="1:11" x14ac:dyDescent="0.25">
      <c r="G9" s="43"/>
      <c r="H9" s="64"/>
    </row>
    <row r="10" spans="1:11" x14ac:dyDescent="0.25">
      <c r="E10" s="39" t="s">
        <v>161</v>
      </c>
      <c r="F10" s="45">
        <f>SUM(F11:F14)</f>
        <v>4194</v>
      </c>
      <c r="G10" s="42">
        <f>SUM(G11:G14)</f>
        <v>9121.2000000000007</v>
      </c>
      <c r="H10" s="63">
        <f>SUM(H11:H14)</f>
        <v>6289.2</v>
      </c>
      <c r="K10" s="45">
        <f>SUM(K11:K16)</f>
        <v>4730.68</v>
      </c>
    </row>
    <row r="11" spans="1:11" x14ac:dyDescent="0.25">
      <c r="E11" t="s">
        <v>162</v>
      </c>
      <c r="F11" s="44">
        <f>'CHIFFRAGE MAICHE WE1'!O3</f>
        <v>1755</v>
      </c>
      <c r="G11" s="43">
        <v>4797.6000000000004</v>
      </c>
      <c r="H11" s="64">
        <v>3345.6</v>
      </c>
      <c r="I11" s="61">
        <f>(H11-2100)*1.4</f>
        <v>1743.8399999999997</v>
      </c>
      <c r="J11" s="61">
        <f>(H11-2100)</f>
        <v>1245.5999999999999</v>
      </c>
      <c r="K11" s="61">
        <f>I11-J11</f>
        <v>498.23999999999978</v>
      </c>
    </row>
    <row r="12" spans="1:11" x14ac:dyDescent="0.25">
      <c r="E12" t="s">
        <v>163</v>
      </c>
      <c r="F12" s="44">
        <f>'CHIFFRAGE MAICHE WE2'!O3</f>
        <v>953</v>
      </c>
      <c r="G12" s="43"/>
      <c r="H12" s="64"/>
      <c r="I12" s="61"/>
      <c r="J12" s="61"/>
      <c r="K12" s="61">
        <f t="shared" ref="K12:K14" si="0">I12-J12</f>
        <v>0</v>
      </c>
    </row>
    <row r="13" spans="1:11" x14ac:dyDescent="0.25">
      <c r="E13" t="s">
        <v>164</v>
      </c>
      <c r="F13" s="44">
        <f>'CHIFFRAGE MORTEAU'!O3</f>
        <v>533</v>
      </c>
      <c r="G13" s="43">
        <v>1474.8</v>
      </c>
      <c r="H13" s="64">
        <v>820.8</v>
      </c>
      <c r="I13" s="61">
        <f>(H13-600)*1.4</f>
        <v>309.11999999999989</v>
      </c>
      <c r="J13" s="61">
        <f>(H13-600)</f>
        <v>220.79999999999995</v>
      </c>
      <c r="K13" s="61">
        <f t="shared" si="0"/>
        <v>88.319999999999936</v>
      </c>
    </row>
    <row r="14" spans="1:11" x14ac:dyDescent="0.25">
      <c r="E14" t="s">
        <v>165</v>
      </c>
      <c r="F14" s="44">
        <f>'CHIFFRAGE RUSSEY WE4'!O3</f>
        <v>953</v>
      </c>
      <c r="G14" s="43">
        <v>2848.8</v>
      </c>
      <c r="H14" s="64">
        <v>2122.8000000000002</v>
      </c>
      <c r="I14" s="61">
        <f>(H14-1500)*1.4</f>
        <v>871.92000000000019</v>
      </c>
      <c r="J14" s="61">
        <f>(H14-1500)</f>
        <v>622.80000000000018</v>
      </c>
      <c r="K14" s="61">
        <f t="shared" si="0"/>
        <v>249.12</v>
      </c>
    </row>
    <row r="15" spans="1:11" x14ac:dyDescent="0.25">
      <c r="H15" s="64"/>
      <c r="J15" s="62" t="s">
        <v>203</v>
      </c>
      <c r="K15" s="61">
        <f>10*300</f>
        <v>3000</v>
      </c>
    </row>
    <row r="16" spans="1:11" x14ac:dyDescent="0.25">
      <c r="H16" s="64"/>
      <c r="J16" s="62" t="s">
        <v>204</v>
      </c>
      <c r="K16" s="60">
        <v>895</v>
      </c>
    </row>
    <row r="17" spans="5:8" x14ac:dyDescent="0.25">
      <c r="E17" t="s">
        <v>201</v>
      </c>
      <c r="H17" s="63">
        <f>SUM(H18:H21)</f>
        <v>2832</v>
      </c>
    </row>
    <row r="18" spans="5:8" x14ac:dyDescent="0.25">
      <c r="E18" s="39"/>
      <c r="F18" s="42"/>
      <c r="H18" s="64">
        <v>1089</v>
      </c>
    </row>
    <row r="19" spans="5:8" x14ac:dyDescent="0.25">
      <c r="F19" s="43"/>
      <c r="H19" s="64">
        <v>654</v>
      </c>
    </row>
    <row r="20" spans="5:8" x14ac:dyDescent="0.25">
      <c r="F20" s="43"/>
      <c r="H20" s="64">
        <v>1089</v>
      </c>
    </row>
    <row r="21" spans="5:8" x14ac:dyDescent="0.25">
      <c r="F21" s="43"/>
    </row>
    <row r="22" spans="5:8" x14ac:dyDescent="0.25">
      <c r="F22" s="43"/>
    </row>
    <row r="26" spans="5:8" x14ac:dyDescent="0.25">
      <c r="E26" s="39"/>
      <c r="F26" s="42"/>
    </row>
    <row r="27" spans="5:8" x14ac:dyDescent="0.25">
      <c r="F27" s="43"/>
    </row>
    <row r="28" spans="5:8" x14ac:dyDescent="0.25">
      <c r="F28" s="43"/>
    </row>
    <row r="29" spans="5:8" x14ac:dyDescent="0.25">
      <c r="F29" s="43"/>
    </row>
    <row r="30" spans="5:8" x14ac:dyDescent="0.25">
      <c r="F30" s="4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T46"/>
  <sheetViews>
    <sheetView topLeftCell="A18" zoomScale="92" zoomScaleNormal="100" workbookViewId="0">
      <selection activeCell="H6" sqref="H6"/>
    </sheetView>
  </sheetViews>
  <sheetFormatPr baseColWidth="10" defaultColWidth="9.140625" defaultRowHeight="15" x14ac:dyDescent="0.25"/>
  <cols>
    <col min="2" max="2" width="30.7109375" customWidth="1"/>
    <col min="3" max="3" width="10.7109375" customWidth="1"/>
    <col min="4" max="4" width="16.42578125" style="2" customWidth="1"/>
    <col min="5" max="5" width="13.140625" customWidth="1"/>
    <col min="6" max="6" width="27.42578125" customWidth="1"/>
    <col min="7" max="7" width="15" bestFit="1" customWidth="1"/>
    <col min="10" max="10" width="32.85546875" bestFit="1" customWidth="1"/>
    <col min="11" max="11" width="10.7109375" customWidth="1"/>
    <col min="12" max="12" width="16.42578125" customWidth="1"/>
    <col min="13" max="13" width="13.140625" customWidth="1"/>
    <col min="14" max="14" width="29.28515625" customWidth="1"/>
  </cols>
  <sheetData>
    <row r="1" spans="2:15" x14ac:dyDescent="0.25">
      <c r="F1" s="6" t="s">
        <v>60</v>
      </c>
      <c r="G1" s="4">
        <f>(G2+O3+O40)</f>
        <v>7579.0959999999995</v>
      </c>
      <c r="H1" t="s">
        <v>144</v>
      </c>
    </row>
    <row r="2" spans="2:15" x14ac:dyDescent="0.25">
      <c r="F2" s="6" t="s">
        <v>61</v>
      </c>
      <c r="G2" s="4">
        <f>(G3+G19+G42+G33)*1.2*1.2</f>
        <v>3954.0959999999991</v>
      </c>
    </row>
    <row r="3" spans="2:15" ht="18.75" x14ac:dyDescent="0.25">
      <c r="B3" s="73" t="s">
        <v>62</v>
      </c>
      <c r="C3" s="73"/>
      <c r="D3" s="73"/>
      <c r="E3" s="73"/>
      <c r="F3" s="73"/>
      <c r="G3" s="4">
        <f>SUM(Tableau2[total HT list])*0.6*1.5</f>
        <v>1243.8</v>
      </c>
      <c r="J3" s="74" t="s">
        <v>63</v>
      </c>
      <c r="K3" s="74"/>
      <c r="L3" s="74"/>
      <c r="M3" s="74"/>
      <c r="N3" s="74"/>
      <c r="O3">
        <f>SUM(Tableau6[total HT list])</f>
        <v>1755</v>
      </c>
    </row>
    <row r="4" spans="2:15" x14ac:dyDescent="0.25">
      <c r="B4" t="s">
        <v>64</v>
      </c>
      <c r="C4" s="1" t="s">
        <v>65</v>
      </c>
      <c r="D4" s="2" t="s">
        <v>66</v>
      </c>
      <c r="E4" t="s">
        <v>67</v>
      </c>
      <c r="F4" t="s">
        <v>68</v>
      </c>
      <c r="J4" s="34" t="s">
        <v>64</v>
      </c>
      <c r="K4" s="35" t="s">
        <v>65</v>
      </c>
      <c r="L4" s="36" t="s">
        <v>66</v>
      </c>
      <c r="M4" s="37" t="s">
        <v>67</v>
      </c>
      <c r="N4" s="38" t="s">
        <v>68</v>
      </c>
    </row>
    <row r="5" spans="2:15" x14ac:dyDescent="0.25">
      <c r="B5" t="s">
        <v>80</v>
      </c>
      <c r="C5" s="1">
        <v>5</v>
      </c>
      <c r="D5" s="3">
        <v>100</v>
      </c>
      <c r="E5" s="3">
        <f>Tableau2[[#This Row],[quantité]]*Tableau2[[#This Row],[prix HT U LIST]]</f>
        <v>500</v>
      </c>
      <c r="J5" t="s">
        <v>69</v>
      </c>
      <c r="K5">
        <v>1</v>
      </c>
      <c r="L5">
        <v>125</v>
      </c>
      <c r="M5">
        <f>Tableau6[[#This Row],[quantité]]*Tableau6[[#This Row],[prix HT U LIST]]</f>
        <v>125</v>
      </c>
    </row>
    <row r="6" spans="2:15" x14ac:dyDescent="0.25">
      <c r="B6" t="s">
        <v>81</v>
      </c>
      <c r="C6" s="1">
        <v>5</v>
      </c>
      <c r="D6" s="3">
        <v>50</v>
      </c>
      <c r="E6" s="3">
        <f>Tableau2[[#This Row],[quantité]]*Tableau2[[#This Row],[prix HT U LIST]]</f>
        <v>250</v>
      </c>
      <c r="J6" t="s">
        <v>70</v>
      </c>
      <c r="K6">
        <v>2</v>
      </c>
      <c r="L6">
        <v>50</v>
      </c>
      <c r="M6">
        <f>Tableau6[[#This Row],[quantité]]*Tableau6[[#This Row],[prix HT U LIST]]</f>
        <v>100</v>
      </c>
    </row>
    <row r="7" spans="2:15" x14ac:dyDescent="0.25">
      <c r="B7" t="s">
        <v>82</v>
      </c>
      <c r="C7" s="1">
        <v>5</v>
      </c>
      <c r="D7" s="3">
        <v>35</v>
      </c>
      <c r="E7" s="3">
        <f>Tableau2[[#This Row],[quantité]]*Tableau2[[#This Row],[prix HT U LIST]]</f>
        <v>175</v>
      </c>
      <c r="J7" t="s">
        <v>71</v>
      </c>
      <c r="K7">
        <v>1</v>
      </c>
      <c r="L7">
        <v>30</v>
      </c>
      <c r="M7">
        <f>Tableau6[[#This Row],[quantité]]*Tableau6[[#This Row],[prix HT U LIST]]</f>
        <v>30</v>
      </c>
    </row>
    <row r="8" spans="2:15" x14ac:dyDescent="0.25">
      <c r="B8" t="s">
        <v>83</v>
      </c>
      <c r="C8" s="1">
        <v>2</v>
      </c>
      <c r="D8" s="3">
        <v>15</v>
      </c>
      <c r="E8" s="3">
        <f>Tableau2[[#This Row],[quantité]]*Tableau2[[#This Row],[prix HT U LIST]]</f>
        <v>30</v>
      </c>
      <c r="J8" t="s">
        <v>72</v>
      </c>
      <c r="K8">
        <v>1</v>
      </c>
      <c r="L8">
        <v>100</v>
      </c>
      <c r="M8">
        <f>Tableau6[[#This Row],[quantité]]*Tableau6[[#This Row],[prix HT U LIST]]</f>
        <v>100</v>
      </c>
    </row>
    <row r="9" spans="2:15" x14ac:dyDescent="0.25">
      <c r="B9" t="s">
        <v>194</v>
      </c>
      <c r="C9" s="1">
        <v>2</v>
      </c>
      <c r="D9" s="3">
        <v>20</v>
      </c>
      <c r="E9" s="3">
        <f>Tableau2[[#This Row],[quantité]]*Tableau2[[#This Row],[prix HT U LIST]]</f>
        <v>40</v>
      </c>
      <c r="J9" t="s">
        <v>73</v>
      </c>
      <c r="K9">
        <v>1</v>
      </c>
      <c r="L9">
        <v>60</v>
      </c>
      <c r="M9">
        <f>Tableau6[[#This Row],[quantité]]*Tableau6[[#This Row],[prix HT U LIST]]</f>
        <v>60</v>
      </c>
    </row>
    <row r="10" spans="2:15" x14ac:dyDescent="0.25">
      <c r="B10" t="s">
        <v>85</v>
      </c>
      <c r="C10" s="1">
        <v>5</v>
      </c>
      <c r="D10" s="3">
        <v>45</v>
      </c>
      <c r="E10" s="3">
        <f>Tableau2[[#This Row],[quantité]]*Tableau2[[#This Row],[prix HT U LIST]]</f>
        <v>225</v>
      </c>
      <c r="J10" t="s">
        <v>74</v>
      </c>
      <c r="K10">
        <v>1</v>
      </c>
      <c r="L10">
        <v>30</v>
      </c>
      <c r="M10">
        <f>Tableau6[[#This Row],[quantité]]*Tableau6[[#This Row],[prix HT U LIST]]</f>
        <v>30</v>
      </c>
    </row>
    <row r="11" spans="2:15" x14ac:dyDescent="0.25">
      <c r="B11" t="s">
        <v>86</v>
      </c>
      <c r="C11" s="1">
        <v>2</v>
      </c>
      <c r="D11" s="3">
        <v>2</v>
      </c>
      <c r="E11" s="3">
        <f>Tableau2[[#This Row],[quantité]]*Tableau2[[#This Row],[prix HT U LIST]]</f>
        <v>4</v>
      </c>
      <c r="J11" t="s">
        <v>75</v>
      </c>
      <c r="K11">
        <v>18</v>
      </c>
      <c r="L11">
        <v>10</v>
      </c>
      <c r="M11">
        <f>Tableau6[[#This Row],[quantité]]*Tableau6[[#This Row],[prix HT U LIST]]</f>
        <v>180</v>
      </c>
    </row>
    <row r="12" spans="2:15" x14ac:dyDescent="0.25">
      <c r="B12" t="s">
        <v>87</v>
      </c>
      <c r="C12" s="1">
        <v>1</v>
      </c>
      <c r="D12" s="3">
        <v>40</v>
      </c>
      <c r="E12" s="3">
        <f>Tableau2[[#This Row],[quantité]]*Tableau2[[#This Row],[prix HT U LIST]]</f>
        <v>40</v>
      </c>
      <c r="J12" t="s">
        <v>76</v>
      </c>
      <c r="K12">
        <v>1</v>
      </c>
      <c r="L12">
        <v>30</v>
      </c>
      <c r="M12">
        <f>Tableau6[[#This Row],[quantité]]*Tableau6[[#This Row],[prix HT U LIST]]</f>
        <v>30</v>
      </c>
    </row>
    <row r="13" spans="2:15" x14ac:dyDescent="0.25">
      <c r="B13" t="s">
        <v>193</v>
      </c>
      <c r="C13" s="1">
        <v>2</v>
      </c>
      <c r="D13" s="3">
        <v>5</v>
      </c>
      <c r="E13" s="3">
        <f>Tableau2[[#This Row],[quantité]]*Tableau2[[#This Row],[prix HT U LIST]]</f>
        <v>10</v>
      </c>
      <c r="J13" t="s">
        <v>77</v>
      </c>
      <c r="K13">
        <v>1</v>
      </c>
      <c r="L13">
        <v>13</v>
      </c>
      <c r="M13">
        <f>Tableau6[[#This Row],[quantité]]*Tableau6[[#This Row],[prix HT U LIST]]</f>
        <v>13</v>
      </c>
    </row>
    <row r="14" spans="2:15" x14ac:dyDescent="0.25">
      <c r="B14" t="s">
        <v>88</v>
      </c>
      <c r="C14" s="1">
        <v>4</v>
      </c>
      <c r="D14" s="3">
        <v>22</v>
      </c>
      <c r="E14" s="3">
        <f>Tableau2[[#This Row],[quantité]]*Tableau2[[#This Row],[prix HT U LIST]]</f>
        <v>88</v>
      </c>
      <c r="J14" t="s">
        <v>78</v>
      </c>
      <c r="K14">
        <v>1</v>
      </c>
      <c r="L14">
        <v>45</v>
      </c>
      <c r="M14">
        <f>Tableau6[[#This Row],[quantité]]*Tableau6[[#This Row],[prix HT U LIST]]</f>
        <v>45</v>
      </c>
    </row>
    <row r="15" spans="2:15" x14ac:dyDescent="0.25">
      <c r="B15" t="s">
        <v>89</v>
      </c>
      <c r="C15" s="1">
        <v>4</v>
      </c>
      <c r="D15" s="3">
        <v>5</v>
      </c>
      <c r="E15" s="3">
        <f>Tableau2[[#This Row],[quantité]]*Tableau2[[#This Row],[prix HT U LIST]]</f>
        <v>20</v>
      </c>
      <c r="J15" t="s">
        <v>79</v>
      </c>
      <c r="K15">
        <v>2</v>
      </c>
      <c r="L15">
        <v>5</v>
      </c>
      <c r="M15">
        <f>Tableau6[[#This Row],[quantité]]*Tableau6[[#This Row],[prix HT U LIST]]</f>
        <v>10</v>
      </c>
    </row>
    <row r="16" spans="2:15" x14ac:dyDescent="0.25">
      <c r="J16" t="s">
        <v>145</v>
      </c>
      <c r="K16">
        <v>1</v>
      </c>
      <c r="L16">
        <v>150</v>
      </c>
      <c r="M16">
        <f>Tableau6[[#This Row],[quantité]]*Tableau6[[#This Row],[prix HT U LIST]]</f>
        <v>150</v>
      </c>
    </row>
    <row r="17" spans="2:20" ht="18.75" x14ac:dyDescent="0.25">
      <c r="B17" s="73" t="s">
        <v>90</v>
      </c>
      <c r="C17" s="73"/>
      <c r="D17" s="73"/>
      <c r="E17" s="73"/>
      <c r="F17" s="73"/>
      <c r="J17" t="s">
        <v>146</v>
      </c>
      <c r="K17">
        <v>1</v>
      </c>
      <c r="L17">
        <v>50</v>
      </c>
      <c r="M17">
        <f>Tableau6[[#This Row],[quantité]]*Tableau6[[#This Row],[prix HT U LIST]]</f>
        <v>50</v>
      </c>
    </row>
    <row r="18" spans="2:20" x14ac:dyDescent="0.25">
      <c r="B18" t="s">
        <v>64</v>
      </c>
      <c r="C18" s="1" t="s">
        <v>65</v>
      </c>
      <c r="D18" s="2" t="s">
        <v>66</v>
      </c>
      <c r="E18" t="s">
        <v>67</v>
      </c>
      <c r="F18" t="s">
        <v>68</v>
      </c>
    </row>
    <row r="19" spans="2:20" x14ac:dyDescent="0.25">
      <c r="B19" t="s">
        <v>92</v>
      </c>
      <c r="C19" s="1">
        <v>4</v>
      </c>
      <c r="D19" s="3">
        <v>40</v>
      </c>
      <c r="E19" s="3">
        <f>Tableau24[[#This Row],[quantité]]*Tableau24[[#This Row],[prix HT U LIST]]</f>
        <v>160</v>
      </c>
      <c r="G19" s="4">
        <f>SUM(Tableau24[total HT list])*0.6*1.5</f>
        <v>809.09999999999991</v>
      </c>
      <c r="J19" t="s">
        <v>95</v>
      </c>
      <c r="K19">
        <v>1</v>
      </c>
      <c r="L19">
        <v>100</v>
      </c>
      <c r="M19">
        <f>Tableau6[[#This Row],[quantité]]*Tableau6[[#This Row],[prix HT U LIST]]</f>
        <v>100</v>
      </c>
      <c r="T19" t="s">
        <v>147</v>
      </c>
    </row>
    <row r="20" spans="2:20" x14ac:dyDescent="0.25">
      <c r="B20" t="s">
        <v>94</v>
      </c>
      <c r="C20" s="1">
        <v>2</v>
      </c>
      <c r="D20" s="3">
        <v>30</v>
      </c>
      <c r="E20" s="3">
        <f>Tableau24[[#This Row],[quantité]]*Tableau24[[#This Row],[prix HT U LIST]]</f>
        <v>60</v>
      </c>
    </row>
    <row r="21" spans="2:20" x14ac:dyDescent="0.25">
      <c r="B21" t="s">
        <v>142</v>
      </c>
      <c r="C21" s="1">
        <v>5</v>
      </c>
      <c r="D21" s="3">
        <v>30</v>
      </c>
      <c r="E21" s="3">
        <f>Tableau24[[#This Row],[quantité]]*Tableau24[[#This Row],[prix HT U LIST]]</f>
        <v>150</v>
      </c>
      <c r="J21" t="s">
        <v>97</v>
      </c>
      <c r="K21">
        <v>6</v>
      </c>
      <c r="L21">
        <v>36</v>
      </c>
      <c r="M21">
        <f>Tableau6[[#This Row],[quantité]]*Tableau6[[#This Row],[prix HT U LIST]]</f>
        <v>216</v>
      </c>
    </row>
    <row r="22" spans="2:20" x14ac:dyDescent="0.25">
      <c r="B22" t="s">
        <v>195</v>
      </c>
      <c r="C22" s="1">
        <v>1</v>
      </c>
      <c r="D22" s="3">
        <v>300</v>
      </c>
      <c r="E22" s="3">
        <f>Tableau24[[#This Row],[quantité]]*Tableau24[[#This Row],[prix HT U LIST]]</f>
        <v>300</v>
      </c>
      <c r="J22" t="s">
        <v>98</v>
      </c>
      <c r="K22">
        <v>1</v>
      </c>
      <c r="L22">
        <v>30</v>
      </c>
      <c r="M22">
        <f>Tableau6[[#This Row],[quantité]]*Tableau6[[#This Row],[prix HT U LIST]]</f>
        <v>30</v>
      </c>
    </row>
    <row r="23" spans="2:20" x14ac:dyDescent="0.25">
      <c r="B23" t="s">
        <v>100</v>
      </c>
      <c r="C23" s="1">
        <v>1</v>
      </c>
      <c r="D23" s="3">
        <v>15</v>
      </c>
      <c r="E23" s="3">
        <f>Tableau24[[#This Row],[quantité]]*Tableau24[[#This Row],[prix HT U LIST]]</f>
        <v>15</v>
      </c>
      <c r="J23" t="s">
        <v>143</v>
      </c>
      <c r="K23">
        <v>9</v>
      </c>
      <c r="L23">
        <v>54</v>
      </c>
      <c r="M23">
        <f>Tableau6[[#This Row],[quantité]]*Tableau6[[#This Row],[prix HT U LIST]]</f>
        <v>486</v>
      </c>
    </row>
    <row r="24" spans="2:20" x14ac:dyDescent="0.25">
      <c r="B24" t="s">
        <v>101</v>
      </c>
      <c r="C24" s="1">
        <v>8</v>
      </c>
      <c r="D24" s="3">
        <v>1</v>
      </c>
      <c r="E24" s="3">
        <f>Tableau24[[#This Row],[quantité]]*Tableau24[[#This Row],[prix HT U LIST]]</f>
        <v>8</v>
      </c>
    </row>
    <row r="25" spans="2:20" x14ac:dyDescent="0.25">
      <c r="B25" t="s">
        <v>102</v>
      </c>
      <c r="C25" s="1">
        <v>8</v>
      </c>
      <c r="D25" s="3">
        <v>2</v>
      </c>
      <c r="E25" s="3">
        <f>Tableau24[[#This Row],[quantité]]*Tableau24[[#This Row],[prix HT U LIST]]</f>
        <v>16</v>
      </c>
      <c r="M25">
        <f>Tableau6[[#This Row],[quantité]]*Tableau6[[#This Row],[prix HT U LIST]]</f>
        <v>0</v>
      </c>
    </row>
    <row r="26" spans="2:20" x14ac:dyDescent="0.25">
      <c r="B26" t="s">
        <v>103</v>
      </c>
      <c r="C26" s="1">
        <v>8</v>
      </c>
      <c r="D26" s="3">
        <v>3</v>
      </c>
      <c r="E26" s="3">
        <f>Tableau24[[#This Row],[quantité]]*Tableau24[[#This Row],[prix HT U LIST]]</f>
        <v>24</v>
      </c>
    </row>
    <row r="27" spans="2:20" x14ac:dyDescent="0.25">
      <c r="B27" t="s">
        <v>104</v>
      </c>
      <c r="C27" s="1">
        <v>4</v>
      </c>
      <c r="D27" s="3">
        <v>4</v>
      </c>
      <c r="E27" s="3">
        <f>Tableau24[[#This Row],[quantité]]*Tableau24[[#This Row],[prix HT U LIST]]</f>
        <v>16</v>
      </c>
    </row>
    <row r="28" spans="2:20" x14ac:dyDescent="0.25">
      <c r="B28" t="s">
        <v>105</v>
      </c>
      <c r="C28" s="1">
        <v>1</v>
      </c>
      <c r="D28" s="3">
        <v>10</v>
      </c>
      <c r="E28" s="3">
        <f>Tableau24[[#This Row],[quantité]]*Tableau24[[#This Row],[prix HT U LIST]]</f>
        <v>10</v>
      </c>
      <c r="J28" s="8"/>
      <c r="K28" s="8" t="s">
        <v>197</v>
      </c>
      <c r="L28" s="8" t="s">
        <v>198</v>
      </c>
      <c r="M28" s="8" t="s">
        <v>199</v>
      </c>
      <c r="N28" s="8" t="s">
        <v>200</v>
      </c>
    </row>
    <row r="29" spans="2:20" x14ac:dyDescent="0.25">
      <c r="B29" t="s">
        <v>106</v>
      </c>
      <c r="C29" s="1">
        <v>2</v>
      </c>
      <c r="D29" s="3">
        <v>70</v>
      </c>
      <c r="E29" s="3">
        <f>Tableau24[[#This Row],[quantité]]*Tableau24[[#This Row],[prix HT U LIST]]</f>
        <v>140</v>
      </c>
      <c r="J29" s="8" t="s">
        <v>95</v>
      </c>
      <c r="K29" s="8">
        <v>1</v>
      </c>
      <c r="L29" s="8">
        <v>100</v>
      </c>
      <c r="M29" s="8">
        <f>K29*L29*0.6</f>
        <v>60</v>
      </c>
      <c r="N29" s="8">
        <f>M29*1.5</f>
        <v>90</v>
      </c>
    </row>
    <row r="30" spans="2:20" x14ac:dyDescent="0.25">
      <c r="C30" s="1"/>
      <c r="D30" s="3"/>
      <c r="E30" s="3"/>
      <c r="J30" s="8" t="s">
        <v>97</v>
      </c>
      <c r="K30" s="8">
        <v>6</v>
      </c>
      <c r="L30" s="8">
        <v>60</v>
      </c>
      <c r="M30" s="8">
        <f t="shared" ref="M30:M33" si="0">K30*L30*0.6</f>
        <v>216</v>
      </c>
      <c r="N30" s="8">
        <f t="shared" ref="N30:N33" si="1">M30*1.5</f>
        <v>324</v>
      </c>
    </row>
    <row r="31" spans="2:20" ht="18.75" x14ac:dyDescent="0.25">
      <c r="B31" s="73" t="s">
        <v>107</v>
      </c>
      <c r="C31" s="73"/>
      <c r="D31" s="73"/>
      <c r="E31" s="73"/>
      <c r="F31" s="73"/>
      <c r="J31" s="8" t="s">
        <v>98</v>
      </c>
      <c r="K31" s="8">
        <v>1</v>
      </c>
      <c r="L31" s="8">
        <v>50</v>
      </c>
      <c r="M31" s="8">
        <f t="shared" si="0"/>
        <v>30</v>
      </c>
      <c r="N31" s="8">
        <f t="shared" si="1"/>
        <v>45</v>
      </c>
    </row>
    <row r="32" spans="2:20" x14ac:dyDescent="0.25">
      <c r="B32" t="s">
        <v>64</v>
      </c>
      <c r="C32" s="1" t="s">
        <v>65</v>
      </c>
      <c r="D32" s="2" t="s">
        <v>66</v>
      </c>
      <c r="E32" t="s">
        <v>67</v>
      </c>
      <c r="F32" t="s">
        <v>68</v>
      </c>
      <c r="J32" s="8" t="s">
        <v>143</v>
      </c>
      <c r="K32" s="8">
        <v>7</v>
      </c>
      <c r="L32" s="8">
        <v>90</v>
      </c>
      <c r="M32" s="8">
        <f t="shared" si="0"/>
        <v>378</v>
      </c>
      <c r="N32" s="8">
        <f t="shared" si="1"/>
        <v>567</v>
      </c>
    </row>
    <row r="33" spans="2:15" x14ac:dyDescent="0.25">
      <c r="B33" t="s">
        <v>108</v>
      </c>
      <c r="C33" s="1">
        <v>2</v>
      </c>
      <c r="D33" s="2">
        <v>180</v>
      </c>
      <c r="E33" s="3">
        <f>Tableau1[[#This Row],[quantité]]*Tableau1[[#This Row],[prix HT U LIST]]</f>
        <v>360</v>
      </c>
      <c r="G33" s="4">
        <f>SUM(Tableau1[total HT list])*0.6*1.5</f>
        <v>401.4</v>
      </c>
      <c r="J33" s="8" t="s">
        <v>196</v>
      </c>
      <c r="K33" s="8">
        <v>1</v>
      </c>
      <c r="L33" s="8">
        <v>50</v>
      </c>
      <c r="M33" s="8">
        <f t="shared" si="0"/>
        <v>30</v>
      </c>
      <c r="N33" s="8">
        <f t="shared" si="1"/>
        <v>45</v>
      </c>
    </row>
    <row r="34" spans="2:15" x14ac:dyDescent="0.25">
      <c r="B34" t="s">
        <v>109</v>
      </c>
      <c r="C34" s="1">
        <v>1</v>
      </c>
      <c r="D34" s="2">
        <v>10</v>
      </c>
      <c r="E34" s="3">
        <f>Tableau1[[#This Row],[quantité]]*Tableau1[[#This Row],[prix HT U LIST]]</f>
        <v>10</v>
      </c>
    </row>
    <row r="35" spans="2:15" x14ac:dyDescent="0.25">
      <c r="B35" t="s">
        <v>110</v>
      </c>
      <c r="C35" s="1">
        <v>1</v>
      </c>
      <c r="D35" s="2">
        <v>25</v>
      </c>
      <c r="E35" s="3">
        <f>Tableau1[[#This Row],[quantité]]*Tableau1[[#This Row],[prix HT U LIST]]</f>
        <v>25</v>
      </c>
    </row>
    <row r="36" spans="2:15" x14ac:dyDescent="0.25">
      <c r="B36" t="s">
        <v>111</v>
      </c>
      <c r="C36" s="1">
        <v>3</v>
      </c>
      <c r="D36" s="2">
        <v>2</v>
      </c>
      <c r="E36" s="3">
        <f>Tableau1[[#This Row],[quantité]]*Tableau1[[#This Row],[prix HT U LIST]]</f>
        <v>6</v>
      </c>
    </row>
    <row r="37" spans="2:15" x14ac:dyDescent="0.25">
      <c r="B37" t="s">
        <v>191</v>
      </c>
      <c r="C37" s="1">
        <v>1</v>
      </c>
      <c r="D37" s="2">
        <v>15</v>
      </c>
      <c r="E37" s="3">
        <f>Tableau1[[#This Row],[quantité]]*Tableau1[[#This Row],[prix HT U LIST]]</f>
        <v>15</v>
      </c>
    </row>
    <row r="38" spans="2:15" x14ac:dyDescent="0.25">
      <c r="B38" t="s">
        <v>192</v>
      </c>
      <c r="C38" s="1">
        <v>2</v>
      </c>
      <c r="D38" s="2">
        <v>15</v>
      </c>
      <c r="E38" s="3">
        <f>Tableau1[[#This Row],[quantité]]*Tableau1[[#This Row],[prix HT U LIST]]</f>
        <v>30</v>
      </c>
    </row>
    <row r="39" spans="2:15" ht="18.75" x14ac:dyDescent="0.25">
      <c r="J39" s="74" t="s">
        <v>148</v>
      </c>
      <c r="K39" s="74"/>
      <c r="L39" s="74"/>
      <c r="M39" s="74"/>
      <c r="N39" s="74"/>
    </row>
    <row r="40" spans="2:15" ht="18.75" x14ac:dyDescent="0.25">
      <c r="B40" s="73" t="s">
        <v>113</v>
      </c>
      <c r="C40" s="73"/>
      <c r="D40" s="73"/>
      <c r="E40" s="73"/>
      <c r="F40" s="73"/>
      <c r="J40" s="34" t="s">
        <v>64</v>
      </c>
      <c r="K40" s="35" t="s">
        <v>65</v>
      </c>
      <c r="L40" s="36" t="s">
        <v>66</v>
      </c>
      <c r="M40" s="37" t="s">
        <v>67</v>
      </c>
      <c r="N40" s="38" t="s">
        <v>68</v>
      </c>
      <c r="O40">
        <f>SUM(Tableau76[total HT list])</f>
        <v>1870</v>
      </c>
    </row>
    <row r="41" spans="2:15" x14ac:dyDescent="0.25">
      <c r="B41" t="s">
        <v>64</v>
      </c>
      <c r="C41" s="1" t="s">
        <v>65</v>
      </c>
      <c r="D41" s="2" t="s">
        <v>66</v>
      </c>
      <c r="E41" t="s">
        <v>67</v>
      </c>
      <c r="F41" t="s">
        <v>68</v>
      </c>
      <c r="J41" t="s">
        <v>149</v>
      </c>
      <c r="K41">
        <v>4</v>
      </c>
      <c r="L41">
        <v>280</v>
      </c>
      <c r="M41">
        <f>Tableau76[[#This Row],[quantité]]*Tableau76[[#This Row],[prix HT U LIST]]</f>
        <v>1120</v>
      </c>
    </row>
    <row r="42" spans="2:15" x14ac:dyDescent="0.25">
      <c r="B42" t="s">
        <v>114</v>
      </c>
      <c r="C42" s="1">
        <v>7</v>
      </c>
      <c r="D42" s="3">
        <v>30</v>
      </c>
      <c r="E42" s="5">
        <f>Tableau245[[#This Row],[quantité]]*Tableau245[[#This Row],[prix HT U LIST]]</f>
        <v>210</v>
      </c>
      <c r="G42" s="4">
        <f>SUM(Tableau245[total HT list])*0.6*1.5</f>
        <v>291.60000000000002</v>
      </c>
      <c r="J42" t="s">
        <v>150</v>
      </c>
      <c r="K42">
        <v>3</v>
      </c>
      <c r="L42">
        <v>250</v>
      </c>
      <c r="M42">
        <f>Tableau76[[#This Row],[quantité]]*Tableau76[[#This Row],[prix HT U LIST]]</f>
        <v>750</v>
      </c>
    </row>
    <row r="43" spans="2:15" x14ac:dyDescent="0.25">
      <c r="B43" t="s">
        <v>115</v>
      </c>
      <c r="C43" s="1">
        <v>2</v>
      </c>
      <c r="D43" s="16">
        <v>25</v>
      </c>
      <c r="E43" s="17">
        <f>Tableau245[[#This Row],[quantité]]*Tableau245[[#This Row],[prix HT U LIST]]</f>
        <v>50</v>
      </c>
      <c r="F43" s="18"/>
    </row>
    <row r="44" spans="2:15" x14ac:dyDescent="0.25">
      <c r="B44" t="s">
        <v>116</v>
      </c>
      <c r="C44" s="1">
        <v>8</v>
      </c>
      <c r="D44" s="16">
        <v>4</v>
      </c>
      <c r="E44" s="17">
        <f>Tableau245[[#This Row],[quantité]]*Tableau245[[#This Row],[prix HT U LIST]]</f>
        <v>32</v>
      </c>
      <c r="F44" s="18"/>
    </row>
    <row r="45" spans="2:15" x14ac:dyDescent="0.25">
      <c r="B45" t="s">
        <v>117</v>
      </c>
      <c r="C45" s="1">
        <v>2</v>
      </c>
      <c r="D45" s="16">
        <v>15</v>
      </c>
      <c r="E45" s="17">
        <f>Tableau245[[#This Row],[quantité]]*Tableau245[[#This Row],[prix HT U LIST]]</f>
        <v>30</v>
      </c>
      <c r="F45" s="18"/>
    </row>
    <row r="46" spans="2:15" x14ac:dyDescent="0.25">
      <c r="B46" t="s">
        <v>118</v>
      </c>
      <c r="C46" s="1">
        <v>2</v>
      </c>
      <c r="D46" s="16">
        <v>1</v>
      </c>
      <c r="E46" s="17">
        <f>Tableau245[[#This Row],[quantité]]*Tableau245[[#This Row],[prix HT U LIST]]</f>
        <v>2</v>
      </c>
      <c r="F46" s="18"/>
    </row>
  </sheetData>
  <mergeCells count="6">
    <mergeCell ref="B40:F40"/>
    <mergeCell ref="J39:N39"/>
    <mergeCell ref="B31:F31"/>
    <mergeCell ref="J3:N3"/>
    <mergeCell ref="B3:F3"/>
    <mergeCell ref="B17:F1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B0237-F0D4-4D68-A2E9-1A9CC9EE9398}">
  <sheetPr>
    <tabColor rgb="FF0070C0"/>
  </sheetPr>
  <dimension ref="B1:O45"/>
  <sheetViews>
    <sheetView workbookViewId="0">
      <selection activeCell="G3" sqref="G3"/>
    </sheetView>
  </sheetViews>
  <sheetFormatPr baseColWidth="10" defaultColWidth="9.140625" defaultRowHeight="15" x14ac:dyDescent="0.25"/>
  <cols>
    <col min="2" max="2" width="25.42578125" customWidth="1"/>
    <col min="3" max="3" width="10.7109375" customWidth="1"/>
    <col min="4" max="4" width="16.42578125" style="2" customWidth="1"/>
    <col min="5" max="5" width="13.140625" customWidth="1"/>
    <col min="6" max="6" width="27.42578125" customWidth="1"/>
    <col min="7" max="7" width="15" bestFit="1" customWidth="1"/>
    <col min="10" max="10" width="32.85546875" bestFit="1" customWidth="1"/>
    <col min="11" max="11" width="10.7109375" customWidth="1"/>
    <col min="12" max="12" width="16.42578125" customWidth="1"/>
    <col min="13" max="13" width="13.140625" customWidth="1"/>
    <col min="14" max="14" width="29.28515625" customWidth="1"/>
  </cols>
  <sheetData>
    <row r="1" spans="2:15" x14ac:dyDescent="0.25">
      <c r="F1" s="6" t="s">
        <v>60</v>
      </c>
      <c r="G1" s="4">
        <f>(G2+O3++O29+O40)</f>
        <v>7760.9359999999988</v>
      </c>
      <c r="H1" t="s">
        <v>144</v>
      </c>
    </row>
    <row r="2" spans="2:15" x14ac:dyDescent="0.25">
      <c r="F2" s="6" t="s">
        <v>61</v>
      </c>
      <c r="G2" s="4">
        <f>(G3+G18+G41+G32)*1.2*1.2</f>
        <v>4167.9359999999988</v>
      </c>
    </row>
    <row r="3" spans="2:15" ht="18.75" x14ac:dyDescent="0.25">
      <c r="B3" s="73" t="s">
        <v>62</v>
      </c>
      <c r="C3" s="73"/>
      <c r="D3" s="73"/>
      <c r="E3" s="73"/>
      <c r="F3" s="73"/>
      <c r="G3" s="4">
        <f>SUM(Tableau223[total HT list])*0.6*1.5</f>
        <v>1234.8</v>
      </c>
      <c r="J3" s="74" t="s">
        <v>63</v>
      </c>
      <c r="K3" s="74"/>
      <c r="L3" s="74"/>
      <c r="M3" s="74"/>
      <c r="N3" s="74"/>
      <c r="O3">
        <f>SUM(Tableau627[total HT list])</f>
        <v>953</v>
      </c>
    </row>
    <row r="4" spans="2:15" x14ac:dyDescent="0.25">
      <c r="B4" t="s">
        <v>64</v>
      </c>
      <c r="C4" s="1" t="s">
        <v>65</v>
      </c>
      <c r="D4" s="2" t="s">
        <v>66</v>
      </c>
      <c r="E4" t="s">
        <v>67</v>
      </c>
      <c r="F4" t="s">
        <v>68</v>
      </c>
      <c r="J4" s="34" t="s">
        <v>64</v>
      </c>
      <c r="K4" s="35" t="s">
        <v>65</v>
      </c>
      <c r="L4" s="36" t="s">
        <v>66</v>
      </c>
      <c r="M4" s="37" t="s">
        <v>67</v>
      </c>
      <c r="N4" s="38" t="s">
        <v>68</v>
      </c>
    </row>
    <row r="5" spans="2:15" x14ac:dyDescent="0.25">
      <c r="B5" t="s">
        <v>80</v>
      </c>
      <c r="C5" s="1">
        <v>5</v>
      </c>
      <c r="D5" s="3">
        <v>100</v>
      </c>
      <c r="E5" s="3">
        <f>Tableau223[[#This Row],[quantité]]*Tableau223[[#This Row],[prix HT U LIST]]</f>
        <v>500</v>
      </c>
      <c r="J5" t="s">
        <v>69</v>
      </c>
      <c r="K5">
        <v>1</v>
      </c>
      <c r="L5">
        <v>125</v>
      </c>
      <c r="M5">
        <f>Tableau627[[#This Row],[quantité]]*Tableau627[[#This Row],[prix HT U LIST]]</f>
        <v>125</v>
      </c>
    </row>
    <row r="6" spans="2:15" x14ac:dyDescent="0.25">
      <c r="B6" t="s">
        <v>81</v>
      </c>
      <c r="C6" s="1">
        <v>5</v>
      </c>
      <c r="D6" s="3">
        <v>50</v>
      </c>
      <c r="E6" s="3">
        <f>Tableau223[[#This Row],[quantité]]*Tableau223[[#This Row],[prix HT U LIST]]</f>
        <v>250</v>
      </c>
      <c r="J6" t="s">
        <v>70</v>
      </c>
      <c r="K6">
        <v>2</v>
      </c>
      <c r="L6">
        <v>50</v>
      </c>
      <c r="M6">
        <f>Tableau627[[#This Row],[quantité]]*Tableau627[[#This Row],[prix HT U LIST]]</f>
        <v>100</v>
      </c>
    </row>
    <row r="7" spans="2:15" x14ac:dyDescent="0.25">
      <c r="B7" t="s">
        <v>82</v>
      </c>
      <c r="C7" s="1">
        <v>5</v>
      </c>
      <c r="D7" s="3">
        <v>35</v>
      </c>
      <c r="E7" s="3">
        <f>Tableau223[[#This Row],[quantité]]*Tableau223[[#This Row],[prix HT U LIST]]</f>
        <v>175</v>
      </c>
      <c r="J7" t="s">
        <v>71</v>
      </c>
      <c r="K7">
        <v>1</v>
      </c>
      <c r="L7">
        <v>30</v>
      </c>
      <c r="M7">
        <f>Tableau627[[#This Row],[quantité]]*Tableau627[[#This Row],[prix HT U LIST]]</f>
        <v>30</v>
      </c>
    </row>
    <row r="8" spans="2:15" x14ac:dyDescent="0.25">
      <c r="B8" t="s">
        <v>83</v>
      </c>
      <c r="C8" s="1">
        <v>2</v>
      </c>
      <c r="D8" s="3">
        <v>15</v>
      </c>
      <c r="E8" s="3">
        <f>Tableau223[[#This Row],[quantité]]*Tableau223[[#This Row],[prix HT U LIST]]</f>
        <v>30</v>
      </c>
      <c r="J8" t="s">
        <v>72</v>
      </c>
      <c r="K8">
        <v>1</v>
      </c>
      <c r="L8">
        <v>100</v>
      </c>
      <c r="M8">
        <f>Tableau627[[#This Row],[quantité]]*Tableau627[[#This Row],[prix HT U LIST]]</f>
        <v>100</v>
      </c>
    </row>
    <row r="9" spans="2:15" x14ac:dyDescent="0.25">
      <c r="B9" t="s">
        <v>84</v>
      </c>
      <c r="C9" s="1">
        <v>2</v>
      </c>
      <c r="D9" s="3">
        <v>20</v>
      </c>
      <c r="E9" s="3">
        <f>Tableau223[[#This Row],[quantité]]*Tableau223[[#This Row],[prix HT U LIST]]</f>
        <v>40</v>
      </c>
      <c r="J9" t="s">
        <v>73</v>
      </c>
      <c r="K9">
        <v>1</v>
      </c>
      <c r="L9">
        <v>60</v>
      </c>
      <c r="M9">
        <f>Tableau627[[#This Row],[quantité]]*Tableau627[[#This Row],[prix HT U LIST]]</f>
        <v>60</v>
      </c>
    </row>
    <row r="10" spans="2:15" x14ac:dyDescent="0.25">
      <c r="B10" t="s">
        <v>85</v>
      </c>
      <c r="C10" s="1">
        <v>5</v>
      </c>
      <c r="D10" s="3">
        <v>45</v>
      </c>
      <c r="E10" s="3">
        <f>Tableau223[[#This Row],[quantité]]*Tableau223[[#This Row],[prix HT U LIST]]</f>
        <v>225</v>
      </c>
      <c r="J10" t="s">
        <v>74</v>
      </c>
      <c r="K10">
        <v>1</v>
      </c>
      <c r="L10">
        <v>30</v>
      </c>
      <c r="M10">
        <f>Tableau627[[#This Row],[quantité]]*Tableau627[[#This Row],[prix HT U LIST]]</f>
        <v>30</v>
      </c>
    </row>
    <row r="11" spans="2:15" x14ac:dyDescent="0.25">
      <c r="B11" t="s">
        <v>86</v>
      </c>
      <c r="C11" s="1">
        <v>2</v>
      </c>
      <c r="D11" s="3">
        <v>2</v>
      </c>
      <c r="E11" s="3">
        <f>Tableau223[[#This Row],[quantité]]*Tableau223[[#This Row],[prix HT U LIST]]</f>
        <v>4</v>
      </c>
      <c r="J11" t="s">
        <v>75</v>
      </c>
      <c r="K11">
        <v>18</v>
      </c>
      <c r="L11">
        <v>10</v>
      </c>
      <c r="M11">
        <f>Tableau627[[#This Row],[quantité]]*Tableau627[[#This Row],[prix HT U LIST]]</f>
        <v>180</v>
      </c>
    </row>
    <row r="12" spans="2:15" x14ac:dyDescent="0.25">
      <c r="B12" t="s">
        <v>87</v>
      </c>
      <c r="C12" s="1">
        <v>1</v>
      </c>
      <c r="D12" s="3">
        <v>40</v>
      </c>
      <c r="E12" s="3">
        <f>Tableau223[[#This Row],[quantité]]*Tableau223[[#This Row],[prix HT U LIST]]</f>
        <v>40</v>
      </c>
      <c r="J12" t="s">
        <v>76</v>
      </c>
      <c r="K12">
        <v>1</v>
      </c>
      <c r="L12">
        <v>30</v>
      </c>
      <c r="M12">
        <f>Tableau627[[#This Row],[quantité]]*Tableau627[[#This Row],[prix HT U LIST]]</f>
        <v>30</v>
      </c>
    </row>
    <row r="13" spans="2:15" x14ac:dyDescent="0.25">
      <c r="B13" t="s">
        <v>88</v>
      </c>
      <c r="C13" s="1">
        <v>4</v>
      </c>
      <c r="D13" s="3">
        <v>22</v>
      </c>
      <c r="E13" s="3">
        <f>Tableau223[[#This Row],[quantité]]*Tableau223[[#This Row],[prix HT U LIST]]</f>
        <v>88</v>
      </c>
      <c r="J13" t="s">
        <v>77</v>
      </c>
      <c r="K13">
        <v>1</v>
      </c>
      <c r="L13">
        <v>13</v>
      </c>
      <c r="M13">
        <f>Tableau627[[#This Row],[quantité]]*Tableau627[[#This Row],[prix HT U LIST]]</f>
        <v>13</v>
      </c>
    </row>
    <row r="14" spans="2:15" x14ac:dyDescent="0.25">
      <c r="B14" t="s">
        <v>89</v>
      </c>
      <c r="C14" s="1">
        <v>4</v>
      </c>
      <c r="D14" s="3">
        <v>5</v>
      </c>
      <c r="E14" s="3">
        <f>Tableau223[[#This Row],[quantité]]*Tableau223[[#This Row],[prix HT U LIST]]</f>
        <v>20</v>
      </c>
      <c r="J14" t="s">
        <v>78</v>
      </c>
      <c r="K14">
        <v>1</v>
      </c>
      <c r="L14">
        <v>45</v>
      </c>
      <c r="M14">
        <f>Tableau627[[#This Row],[quantité]]*Tableau627[[#This Row],[prix HT U LIST]]</f>
        <v>45</v>
      </c>
    </row>
    <row r="15" spans="2:15" x14ac:dyDescent="0.25">
      <c r="J15" t="s">
        <v>79</v>
      </c>
      <c r="K15">
        <v>8</v>
      </c>
      <c r="L15">
        <v>5</v>
      </c>
      <c r="M15">
        <f>Tableau627[[#This Row],[quantité]]*Tableau627[[#This Row],[prix HT U LIST]]</f>
        <v>40</v>
      </c>
    </row>
    <row r="16" spans="2:15" ht="18.75" x14ac:dyDescent="0.25">
      <c r="B16" s="73" t="s">
        <v>90</v>
      </c>
      <c r="C16" s="73"/>
      <c r="D16" s="73"/>
      <c r="E16" s="73"/>
      <c r="F16" s="73"/>
      <c r="J16" t="s">
        <v>145</v>
      </c>
      <c r="K16">
        <v>1</v>
      </c>
      <c r="L16">
        <v>150</v>
      </c>
      <c r="M16">
        <f>Tableau627[[#This Row],[quantité]]*Tableau627[[#This Row],[prix HT U LIST]]</f>
        <v>150</v>
      </c>
    </row>
    <row r="17" spans="2:15" x14ac:dyDescent="0.25">
      <c r="B17" t="s">
        <v>64</v>
      </c>
      <c r="C17" s="1" t="s">
        <v>65</v>
      </c>
      <c r="D17" s="2" t="s">
        <v>66</v>
      </c>
      <c r="E17" t="s">
        <v>67</v>
      </c>
      <c r="F17" t="s">
        <v>68</v>
      </c>
      <c r="J17" t="s">
        <v>146</v>
      </c>
      <c r="K17">
        <v>1</v>
      </c>
      <c r="L17">
        <v>50</v>
      </c>
      <c r="M17">
        <f>Tableau627[[#This Row],[quantité]]*Tableau627[[#This Row],[prix HT U LIST]]</f>
        <v>50</v>
      </c>
    </row>
    <row r="18" spans="2:15" x14ac:dyDescent="0.25">
      <c r="B18" t="s">
        <v>92</v>
      </c>
      <c r="C18" s="1">
        <v>4</v>
      </c>
      <c r="D18" s="3">
        <v>40</v>
      </c>
      <c r="E18" s="3">
        <f>Tableau2424[[#This Row],[quantité]]*Tableau2424[[#This Row],[prix HT U LIST]]</f>
        <v>160</v>
      </c>
      <c r="G18" s="4">
        <f>SUM(Tableau2424[total HT list])*0.6*1.5</f>
        <v>863.09999999999991</v>
      </c>
      <c r="M18">
        <f>Tableau627[[#This Row],[quantité]]*Tableau627[[#This Row],[prix HT U LIST]]</f>
        <v>0</v>
      </c>
    </row>
    <row r="19" spans="2:15" x14ac:dyDescent="0.25">
      <c r="B19" t="s">
        <v>94</v>
      </c>
      <c r="C19" s="1">
        <v>2</v>
      </c>
      <c r="D19" s="3">
        <v>30</v>
      </c>
      <c r="E19" s="3">
        <f>Tableau2424[[#This Row],[quantité]]*Tableau2424[[#This Row],[prix HT U LIST]]</f>
        <v>60</v>
      </c>
      <c r="M19">
        <f>Tableau627[[#This Row],[quantité]]*Tableau627[[#This Row],[prix HT U LIST]]</f>
        <v>0</v>
      </c>
    </row>
    <row r="20" spans="2:15" x14ac:dyDescent="0.25">
      <c r="B20" t="s">
        <v>142</v>
      </c>
      <c r="C20" s="1">
        <v>7</v>
      </c>
      <c r="D20" s="3">
        <v>30</v>
      </c>
      <c r="E20" s="3">
        <f>Tableau2424[[#This Row],[quantité]]*Tableau2424[[#This Row],[prix HT U LIST]]</f>
        <v>210</v>
      </c>
      <c r="M20">
        <f>Tableau627[[#This Row],[quantité]]*Tableau627[[#This Row],[prix HT U LIST]]</f>
        <v>0</v>
      </c>
    </row>
    <row r="21" spans="2:15" x14ac:dyDescent="0.25">
      <c r="B21" t="s">
        <v>195</v>
      </c>
      <c r="C21" s="1">
        <v>1</v>
      </c>
      <c r="D21" s="3">
        <v>300</v>
      </c>
      <c r="E21" s="3">
        <f>Tableau2424[[#This Row],[quantité]]*Tableau2424[[#This Row],[prix HT U LIST]]</f>
        <v>300</v>
      </c>
      <c r="M21">
        <f>Tableau627[[#This Row],[quantité]]*Tableau627[[#This Row],[prix HT U LIST]]</f>
        <v>0</v>
      </c>
    </row>
    <row r="22" spans="2:15" x14ac:dyDescent="0.25">
      <c r="B22" t="s">
        <v>100</v>
      </c>
      <c r="C22" s="1">
        <v>1</v>
      </c>
      <c r="D22" s="3">
        <v>15</v>
      </c>
      <c r="E22" s="3">
        <f>Tableau2424[[#This Row],[quantité]]*Tableau2424[[#This Row],[prix HT U LIST]]</f>
        <v>15</v>
      </c>
      <c r="M22">
        <f>Tableau627[[#This Row],[quantité]]*Tableau627[[#This Row],[prix HT U LIST]]</f>
        <v>0</v>
      </c>
    </row>
    <row r="23" spans="2:15" x14ac:dyDescent="0.25">
      <c r="B23" t="s">
        <v>101</v>
      </c>
      <c r="C23" s="1">
        <v>8</v>
      </c>
      <c r="D23" s="3">
        <v>1</v>
      </c>
      <c r="E23" s="3">
        <f>Tableau2424[[#This Row],[quantité]]*Tableau2424[[#This Row],[prix HT U LIST]]</f>
        <v>8</v>
      </c>
      <c r="M23">
        <f>Tableau627[[#This Row],[quantité]]*Tableau627[[#This Row],[prix HT U LIST]]</f>
        <v>0</v>
      </c>
    </row>
    <row r="24" spans="2:15" x14ac:dyDescent="0.25">
      <c r="B24" t="s">
        <v>102</v>
      </c>
      <c r="C24" s="1">
        <v>8</v>
      </c>
      <c r="D24" s="3">
        <v>2</v>
      </c>
      <c r="E24" s="3">
        <f>Tableau2424[[#This Row],[quantité]]*Tableau2424[[#This Row],[prix HT U LIST]]</f>
        <v>16</v>
      </c>
      <c r="M24">
        <f>Tableau627[[#This Row],[quantité]]*Tableau627[[#This Row],[prix HT U LIST]]</f>
        <v>0</v>
      </c>
    </row>
    <row r="25" spans="2:15" x14ac:dyDescent="0.25">
      <c r="B25" t="s">
        <v>103</v>
      </c>
      <c r="C25" s="1">
        <v>8</v>
      </c>
      <c r="D25" s="3">
        <v>3</v>
      </c>
      <c r="E25" s="3">
        <f>Tableau2424[[#This Row],[quantité]]*Tableau2424[[#This Row],[prix HT U LIST]]</f>
        <v>24</v>
      </c>
      <c r="M25">
        <f>Tableau627[[#This Row],[quantité]]*Tableau627[[#This Row],[prix HT U LIST]]</f>
        <v>0</v>
      </c>
    </row>
    <row r="26" spans="2:15" x14ac:dyDescent="0.25">
      <c r="B26" t="s">
        <v>104</v>
      </c>
      <c r="C26" s="1">
        <v>4</v>
      </c>
      <c r="D26" s="3">
        <v>4</v>
      </c>
      <c r="E26" s="3">
        <f>Tableau2424[[#This Row],[quantité]]*Tableau2424[[#This Row],[prix HT U LIST]]</f>
        <v>16</v>
      </c>
      <c r="M26">
        <f>Tableau627[[#This Row],[quantité]]*Tableau627[[#This Row],[prix HT U LIST]]</f>
        <v>0</v>
      </c>
    </row>
    <row r="27" spans="2:15" x14ac:dyDescent="0.25">
      <c r="B27" t="s">
        <v>105</v>
      </c>
      <c r="C27" s="1">
        <v>1</v>
      </c>
      <c r="D27" s="3">
        <v>10</v>
      </c>
      <c r="E27" s="3">
        <f>Tableau2424[[#This Row],[quantité]]*Tableau2424[[#This Row],[prix HT U LIST]]</f>
        <v>10</v>
      </c>
    </row>
    <row r="28" spans="2:15" x14ac:dyDescent="0.25">
      <c r="B28" t="s">
        <v>106</v>
      </c>
      <c r="C28" s="1">
        <v>2</v>
      </c>
      <c r="D28" s="3">
        <v>70</v>
      </c>
      <c r="E28" s="3">
        <f>Tableau2424[[#This Row],[quantité]]*Tableau2424[[#This Row],[prix HT U LIST]]</f>
        <v>140</v>
      </c>
    </row>
    <row r="29" spans="2:15" ht="18.75" x14ac:dyDescent="0.25">
      <c r="C29" s="1"/>
      <c r="D29" s="3"/>
      <c r="E29" s="3"/>
      <c r="J29" s="74" t="s">
        <v>91</v>
      </c>
      <c r="K29" s="74"/>
      <c r="L29" s="74"/>
      <c r="M29" s="74"/>
      <c r="N29" s="74"/>
      <c r="O29">
        <f>SUM(Tableau728[total HT list])</f>
        <v>1330</v>
      </c>
    </row>
    <row r="30" spans="2:15" ht="18.75" x14ac:dyDescent="0.25">
      <c r="B30" s="73" t="s">
        <v>107</v>
      </c>
      <c r="C30" s="73"/>
      <c r="D30" s="73"/>
      <c r="E30" s="73"/>
      <c r="F30" s="73"/>
      <c r="J30" s="34" t="s">
        <v>64</v>
      </c>
      <c r="K30" s="35" t="s">
        <v>65</v>
      </c>
      <c r="L30" s="36" t="s">
        <v>66</v>
      </c>
      <c r="M30" s="37" t="s">
        <v>67</v>
      </c>
      <c r="N30" s="38" t="s">
        <v>68</v>
      </c>
    </row>
    <row r="31" spans="2:15" x14ac:dyDescent="0.25">
      <c r="B31" t="s">
        <v>64</v>
      </c>
      <c r="C31" s="1" t="s">
        <v>65</v>
      </c>
      <c r="D31" s="2" t="s">
        <v>66</v>
      </c>
      <c r="E31" t="s">
        <v>67</v>
      </c>
      <c r="F31" t="s">
        <v>68</v>
      </c>
      <c r="J31" t="s">
        <v>93</v>
      </c>
      <c r="K31">
        <v>2</v>
      </c>
      <c r="L31">
        <v>30</v>
      </c>
      <c r="M31">
        <f>Tableau728[[#This Row],[quantité]]*Tableau728[[#This Row],[prix HT U LIST]]</f>
        <v>60</v>
      </c>
    </row>
    <row r="32" spans="2:15" x14ac:dyDescent="0.25">
      <c r="B32" t="s">
        <v>108</v>
      </c>
      <c r="C32" s="1">
        <v>2</v>
      </c>
      <c r="D32" s="2">
        <v>180</v>
      </c>
      <c r="E32" s="3">
        <f>Tableau126[[#This Row],[quantité]]*Tableau126[[#This Row],[prix HT U LIST]]</f>
        <v>360</v>
      </c>
      <c r="G32" s="4">
        <f>SUM(Tableau126[total HT list])*0.6*1.5</f>
        <v>504.9</v>
      </c>
      <c r="J32" t="s">
        <v>95</v>
      </c>
      <c r="K32">
        <v>1</v>
      </c>
      <c r="L32">
        <v>100</v>
      </c>
      <c r="M32">
        <f>Tableau728[[#This Row],[quantité]]*Tableau728[[#This Row],[prix HT U LIST]]</f>
        <v>100</v>
      </c>
    </row>
    <row r="33" spans="2:15" x14ac:dyDescent="0.25">
      <c r="B33" t="s">
        <v>109</v>
      </c>
      <c r="C33" s="1">
        <v>1</v>
      </c>
      <c r="D33" s="2">
        <v>10</v>
      </c>
      <c r="E33" s="3">
        <f>Tableau126[[#This Row],[quantité]]*Tableau126[[#This Row],[prix HT U LIST]]</f>
        <v>10</v>
      </c>
      <c r="J33" t="s">
        <v>96</v>
      </c>
      <c r="K33">
        <v>1</v>
      </c>
      <c r="L33">
        <v>65</v>
      </c>
      <c r="M33">
        <f>Tableau728[[#This Row],[quantité]]*Tableau728[[#This Row],[prix HT U LIST]]</f>
        <v>65</v>
      </c>
    </row>
    <row r="34" spans="2:15" x14ac:dyDescent="0.25">
      <c r="B34" t="s">
        <v>110</v>
      </c>
      <c r="C34" s="1">
        <v>1</v>
      </c>
      <c r="D34" s="2">
        <v>25</v>
      </c>
      <c r="E34" s="3">
        <f>Tableau126[[#This Row],[quantité]]*Tableau126[[#This Row],[prix HT U LIST]]</f>
        <v>25</v>
      </c>
      <c r="J34" t="s">
        <v>97</v>
      </c>
      <c r="K34">
        <v>6</v>
      </c>
      <c r="L34">
        <v>45</v>
      </c>
      <c r="M34">
        <f>Tableau728[[#This Row],[quantité]]*Tableau728[[#This Row],[prix HT U LIST]]</f>
        <v>270</v>
      </c>
    </row>
    <row r="35" spans="2:15" x14ac:dyDescent="0.25">
      <c r="B35" t="s">
        <v>111</v>
      </c>
      <c r="C35" s="1">
        <v>3</v>
      </c>
      <c r="D35" s="2">
        <v>2</v>
      </c>
      <c r="E35" s="3">
        <f>Tableau126[[#This Row],[quantité]]*Tableau126[[#This Row],[prix HT U LIST]]</f>
        <v>6</v>
      </c>
      <c r="J35" t="s">
        <v>98</v>
      </c>
      <c r="K35">
        <v>1</v>
      </c>
      <c r="L35">
        <v>25</v>
      </c>
      <c r="M35">
        <f>Tableau728[[#This Row],[quantité]]*Tableau728[[#This Row],[prix HT U LIST]]</f>
        <v>25</v>
      </c>
    </row>
    <row r="36" spans="2:15" x14ac:dyDescent="0.25">
      <c r="B36" t="s">
        <v>112</v>
      </c>
      <c r="C36" s="1">
        <v>4</v>
      </c>
      <c r="D36" s="2">
        <v>40</v>
      </c>
      <c r="E36" s="3">
        <f>Tableau126[[#This Row],[quantité]]*Tableau126[[#This Row],[prix HT U LIST]]</f>
        <v>160</v>
      </c>
      <c r="J36" t="s">
        <v>143</v>
      </c>
      <c r="K36">
        <v>9</v>
      </c>
      <c r="L36">
        <v>90</v>
      </c>
      <c r="M36">
        <f>Tableau728[[#This Row],[quantité]]*Tableau728[[#This Row],[prix HT U LIST]]</f>
        <v>810</v>
      </c>
    </row>
    <row r="37" spans="2:15" x14ac:dyDescent="0.25">
      <c r="C37" s="1"/>
      <c r="D37" s="3"/>
      <c r="E37" s="3"/>
    </row>
    <row r="39" spans="2:15" ht="18.75" x14ac:dyDescent="0.25">
      <c r="B39" s="73" t="s">
        <v>113</v>
      </c>
      <c r="C39" s="73"/>
      <c r="D39" s="73"/>
      <c r="E39" s="73"/>
      <c r="F39" s="73"/>
    </row>
    <row r="40" spans="2:15" ht="18.75" x14ac:dyDescent="0.25">
      <c r="B40" t="s">
        <v>64</v>
      </c>
      <c r="C40" s="1" t="s">
        <v>65</v>
      </c>
      <c r="D40" s="2" t="s">
        <v>66</v>
      </c>
      <c r="E40" t="s">
        <v>67</v>
      </c>
      <c r="F40" t="s">
        <v>68</v>
      </c>
      <c r="J40" s="74" t="s">
        <v>148</v>
      </c>
      <c r="K40" s="74"/>
      <c r="L40" s="74"/>
      <c r="M40" s="74"/>
      <c r="N40" s="74"/>
      <c r="O40">
        <f>SUM(Tableau7629[total HT list])</f>
        <v>1310</v>
      </c>
    </row>
    <row r="41" spans="2:15" x14ac:dyDescent="0.25">
      <c r="B41" t="s">
        <v>114</v>
      </c>
      <c r="C41" s="1">
        <v>7</v>
      </c>
      <c r="D41" s="3">
        <v>30</v>
      </c>
      <c r="E41" s="5">
        <f>Tableau24525[[#This Row],[quantité]]*Tableau24525[[#This Row],[prix HT U LIST]]</f>
        <v>210</v>
      </c>
      <c r="G41" s="4">
        <f>SUM(Tableau24525[total HT list])*0.6*1.5</f>
        <v>291.60000000000002</v>
      </c>
      <c r="J41" s="34" t="s">
        <v>64</v>
      </c>
      <c r="K41" s="35" t="s">
        <v>65</v>
      </c>
      <c r="L41" s="36" t="s">
        <v>66</v>
      </c>
      <c r="M41" s="37" t="s">
        <v>67</v>
      </c>
      <c r="N41" s="38" t="s">
        <v>68</v>
      </c>
    </row>
    <row r="42" spans="2:15" x14ac:dyDescent="0.25">
      <c r="B42" t="s">
        <v>115</v>
      </c>
      <c r="C42" s="1">
        <v>2</v>
      </c>
      <c r="D42" s="16">
        <v>25</v>
      </c>
      <c r="E42" s="17">
        <f>Tableau24525[[#This Row],[quantité]]*Tableau24525[[#This Row],[prix HT U LIST]]</f>
        <v>50</v>
      </c>
      <c r="F42" s="18"/>
      <c r="J42" t="s">
        <v>149</v>
      </c>
      <c r="K42">
        <v>3</v>
      </c>
      <c r="L42">
        <v>250</v>
      </c>
      <c r="M42">
        <f>Tableau7629[[#This Row],[quantité]]*Tableau7629[[#This Row],[prix HT U LIST]]</f>
        <v>750</v>
      </c>
    </row>
    <row r="43" spans="2:15" x14ac:dyDescent="0.25">
      <c r="B43" t="s">
        <v>116</v>
      </c>
      <c r="C43" s="1">
        <v>8</v>
      </c>
      <c r="D43" s="16">
        <v>4</v>
      </c>
      <c r="E43" s="17">
        <f>Tableau24525[[#This Row],[quantité]]*Tableau24525[[#This Row],[prix HT U LIST]]</f>
        <v>32</v>
      </c>
      <c r="F43" s="18"/>
      <c r="J43" t="s">
        <v>150</v>
      </c>
      <c r="K43">
        <v>2</v>
      </c>
      <c r="L43">
        <v>280</v>
      </c>
      <c r="M43">
        <f>Tableau7629[[#This Row],[quantité]]*Tableau7629[[#This Row],[prix HT U LIST]]</f>
        <v>560</v>
      </c>
    </row>
    <row r="44" spans="2:15" x14ac:dyDescent="0.25">
      <c r="B44" t="s">
        <v>117</v>
      </c>
      <c r="C44" s="1">
        <v>2</v>
      </c>
      <c r="D44" s="16">
        <v>15</v>
      </c>
      <c r="E44" s="17">
        <f>Tableau24525[[#This Row],[quantité]]*Tableau24525[[#This Row],[prix HT U LIST]]</f>
        <v>30</v>
      </c>
      <c r="F44" s="18"/>
    </row>
    <row r="45" spans="2:15" x14ac:dyDescent="0.25">
      <c r="B45" t="s">
        <v>118</v>
      </c>
      <c r="C45" s="1">
        <v>2</v>
      </c>
      <c r="D45" s="16">
        <v>1</v>
      </c>
      <c r="E45" s="17">
        <f>Tableau24525[[#This Row],[quantité]]*Tableau24525[[#This Row],[prix HT U LIST]]</f>
        <v>2</v>
      </c>
      <c r="F45" s="18"/>
    </row>
  </sheetData>
  <mergeCells count="7">
    <mergeCell ref="J40:N40"/>
    <mergeCell ref="B39:F39"/>
    <mergeCell ref="B3:F3"/>
    <mergeCell ref="J3:N3"/>
    <mergeCell ref="B16:F16"/>
    <mergeCell ref="J29:N29"/>
    <mergeCell ref="B30:F30"/>
  </mergeCell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E0A82-0221-43C8-B03A-56C7EAEA6463}">
  <sheetPr>
    <tabColor rgb="FF0070C0"/>
  </sheetPr>
  <dimension ref="B1:O45"/>
  <sheetViews>
    <sheetView workbookViewId="0">
      <selection activeCell="B21" sqref="B21"/>
    </sheetView>
  </sheetViews>
  <sheetFormatPr baseColWidth="10" defaultColWidth="9.140625" defaultRowHeight="15" x14ac:dyDescent="0.25"/>
  <cols>
    <col min="2" max="2" width="25.42578125" customWidth="1"/>
    <col min="3" max="3" width="10.7109375" customWidth="1"/>
    <col min="4" max="4" width="16.42578125" style="2" customWidth="1"/>
    <col min="5" max="5" width="13.140625" customWidth="1"/>
    <col min="6" max="6" width="27.42578125" customWidth="1"/>
    <col min="7" max="7" width="15" bestFit="1" customWidth="1"/>
    <col min="10" max="10" width="32.85546875" bestFit="1" customWidth="1"/>
    <col min="11" max="11" width="10.7109375" customWidth="1"/>
    <col min="12" max="12" width="16.42578125" customWidth="1"/>
    <col min="13" max="13" width="13.140625" customWidth="1"/>
    <col min="14" max="14" width="29.28515625" customWidth="1"/>
  </cols>
  <sheetData>
    <row r="1" spans="2:15" x14ac:dyDescent="0.25">
      <c r="F1" s="6" t="s">
        <v>141</v>
      </c>
      <c r="G1" s="4">
        <f>(G2+O3+O38+O29)</f>
        <v>4940.4400000000005</v>
      </c>
    </row>
    <row r="2" spans="2:15" x14ac:dyDescent="0.25">
      <c r="F2" s="6" t="s">
        <v>61</v>
      </c>
      <c r="G2" s="4">
        <f>(G3+G16+G45+G36)*1.2*1.2</f>
        <v>2017.44</v>
      </c>
    </row>
    <row r="3" spans="2:15" ht="18.75" x14ac:dyDescent="0.25">
      <c r="B3" s="73" t="s">
        <v>62</v>
      </c>
      <c r="C3" s="73"/>
      <c r="D3" s="73"/>
      <c r="E3" s="73"/>
      <c r="F3" s="73"/>
      <c r="G3" s="4">
        <f>SUM(Tableau216[total HT list])*0.6</f>
        <v>847.19999999999993</v>
      </c>
      <c r="J3" s="74" t="s">
        <v>63</v>
      </c>
      <c r="K3" s="74"/>
      <c r="L3" s="74"/>
      <c r="M3" s="74"/>
      <c r="N3" s="74"/>
      <c r="O3">
        <f>SUM(Tableau621[total HT list])</f>
        <v>533</v>
      </c>
    </row>
    <row r="4" spans="2:15" x14ac:dyDescent="0.25">
      <c r="B4" t="s">
        <v>64</v>
      </c>
      <c r="C4" s="1" t="s">
        <v>65</v>
      </c>
      <c r="D4" s="2" t="s">
        <v>66</v>
      </c>
      <c r="E4" t="s">
        <v>67</v>
      </c>
      <c r="F4" t="s">
        <v>68</v>
      </c>
      <c r="J4" s="34" t="s">
        <v>64</v>
      </c>
      <c r="K4" s="35" t="s">
        <v>65</v>
      </c>
      <c r="L4" s="36" t="s">
        <v>66</v>
      </c>
      <c r="M4" s="37" t="s">
        <v>67</v>
      </c>
      <c r="N4" s="38" t="s">
        <v>68</v>
      </c>
    </row>
    <row r="5" spans="2:15" x14ac:dyDescent="0.25">
      <c r="B5" t="s">
        <v>80</v>
      </c>
      <c r="C5" s="1">
        <v>5</v>
      </c>
      <c r="D5" s="3">
        <v>100</v>
      </c>
      <c r="E5" s="3">
        <f>Tableau216[[#This Row],[quantité]]*Tableau216[[#This Row],[prix HT U LIST]]</f>
        <v>500</v>
      </c>
      <c r="J5" t="s">
        <v>69</v>
      </c>
      <c r="K5">
        <v>1</v>
      </c>
      <c r="L5">
        <v>125</v>
      </c>
      <c r="M5">
        <f>Tableau621[[#This Row],[quantité]]*Tableau621[[#This Row],[prix HT U LIST]]</f>
        <v>125</v>
      </c>
    </row>
    <row r="6" spans="2:15" x14ac:dyDescent="0.25">
      <c r="B6" t="s">
        <v>81</v>
      </c>
      <c r="C6" s="1">
        <v>5</v>
      </c>
      <c r="D6" s="3">
        <v>50</v>
      </c>
      <c r="E6" s="3">
        <f>Tableau216[[#This Row],[quantité]]*Tableau216[[#This Row],[prix HT U LIST]]</f>
        <v>250</v>
      </c>
      <c r="J6" t="s">
        <v>70</v>
      </c>
      <c r="K6">
        <v>2</v>
      </c>
      <c r="L6">
        <v>50</v>
      </c>
      <c r="M6">
        <f>Tableau621[[#This Row],[quantité]]*Tableau621[[#This Row],[prix HT U LIST]]</f>
        <v>100</v>
      </c>
    </row>
    <row r="7" spans="2:15" x14ac:dyDescent="0.25">
      <c r="B7" t="s">
        <v>82</v>
      </c>
      <c r="C7" s="1">
        <v>5</v>
      </c>
      <c r="D7" s="3">
        <v>35</v>
      </c>
      <c r="E7" s="3">
        <f>Tableau216[[#This Row],[quantité]]*Tableau216[[#This Row],[prix HT U LIST]]</f>
        <v>175</v>
      </c>
      <c r="J7" t="s">
        <v>71</v>
      </c>
      <c r="K7">
        <v>1</v>
      </c>
      <c r="L7">
        <v>30</v>
      </c>
      <c r="M7">
        <f>Tableau621[[#This Row],[quantité]]*Tableau621[[#This Row],[prix HT U LIST]]</f>
        <v>30</v>
      </c>
    </row>
    <row r="8" spans="2:15" x14ac:dyDescent="0.25">
      <c r="B8" t="s">
        <v>83</v>
      </c>
      <c r="C8" s="1">
        <v>2</v>
      </c>
      <c r="D8" s="3">
        <v>15</v>
      </c>
      <c r="E8" s="3">
        <f>Tableau216[[#This Row],[quantité]]*Tableau216[[#This Row],[prix HT U LIST]]</f>
        <v>30</v>
      </c>
      <c r="J8" t="s">
        <v>72</v>
      </c>
      <c r="K8">
        <v>1</v>
      </c>
      <c r="L8">
        <v>100</v>
      </c>
      <c r="M8">
        <f>Tableau621[[#This Row],[quantité]]*Tableau621[[#This Row],[prix HT U LIST]]</f>
        <v>100</v>
      </c>
    </row>
    <row r="9" spans="2:15" x14ac:dyDescent="0.25">
      <c r="B9" t="s">
        <v>84</v>
      </c>
      <c r="C9" s="1">
        <v>2</v>
      </c>
      <c r="D9" s="3">
        <v>20</v>
      </c>
      <c r="E9" s="3">
        <f>Tableau216[[#This Row],[quantité]]*Tableau216[[#This Row],[prix HT U LIST]]</f>
        <v>40</v>
      </c>
      <c r="J9" t="s">
        <v>73</v>
      </c>
      <c r="K9">
        <v>1</v>
      </c>
      <c r="L9">
        <v>60</v>
      </c>
      <c r="M9">
        <f>Tableau621[[#This Row],[quantité]]*Tableau621[[#This Row],[prix HT U LIST]]</f>
        <v>60</v>
      </c>
    </row>
    <row r="10" spans="2:15" x14ac:dyDescent="0.25">
      <c r="B10" t="s">
        <v>85</v>
      </c>
      <c r="C10" s="1">
        <v>5</v>
      </c>
      <c r="D10" s="3">
        <v>45</v>
      </c>
      <c r="E10" s="3">
        <f>Tableau216[[#This Row],[quantité]]*Tableau216[[#This Row],[prix HT U LIST]]</f>
        <v>225</v>
      </c>
      <c r="J10" t="s">
        <v>74</v>
      </c>
      <c r="K10">
        <v>1</v>
      </c>
      <c r="L10">
        <v>30</v>
      </c>
      <c r="M10">
        <f>Tableau621[[#This Row],[quantité]]*Tableau621[[#This Row],[prix HT U LIST]]</f>
        <v>30</v>
      </c>
    </row>
    <row r="11" spans="2:15" x14ac:dyDescent="0.25">
      <c r="B11" t="s">
        <v>86</v>
      </c>
      <c r="C11" s="1">
        <v>2</v>
      </c>
      <c r="D11" s="3">
        <v>2</v>
      </c>
      <c r="E11" s="3">
        <f>Tableau216[[#This Row],[quantité]]*Tableau216[[#This Row],[prix HT U LIST]]</f>
        <v>4</v>
      </c>
      <c r="J11" t="s">
        <v>76</v>
      </c>
      <c r="K11">
        <v>1</v>
      </c>
      <c r="L11">
        <v>30</v>
      </c>
      <c r="M11">
        <f>Tableau621[[#This Row],[quantité]]*Tableau621[[#This Row],[prix HT U LIST]]</f>
        <v>30</v>
      </c>
    </row>
    <row r="12" spans="2:15" x14ac:dyDescent="0.25">
      <c r="B12" t="s">
        <v>87</v>
      </c>
      <c r="C12" s="1">
        <v>2</v>
      </c>
      <c r="D12" s="3">
        <v>40</v>
      </c>
      <c r="E12" s="3">
        <f>Tableau216[[#This Row],[quantité]]*Tableau216[[#This Row],[prix HT U LIST]]</f>
        <v>80</v>
      </c>
      <c r="J12" t="s">
        <v>77</v>
      </c>
      <c r="K12">
        <v>1</v>
      </c>
      <c r="L12">
        <v>13</v>
      </c>
      <c r="M12">
        <f>Tableau621[[#This Row],[quantité]]*Tableau621[[#This Row],[prix HT U LIST]]</f>
        <v>13</v>
      </c>
    </row>
    <row r="13" spans="2:15" x14ac:dyDescent="0.25">
      <c r="B13" t="s">
        <v>88</v>
      </c>
      <c r="C13" s="1">
        <v>4</v>
      </c>
      <c r="D13" s="3">
        <v>22</v>
      </c>
      <c r="E13" s="3">
        <f>Tableau216[[#This Row],[quantité]]*Tableau216[[#This Row],[prix HT U LIST]]</f>
        <v>88</v>
      </c>
      <c r="J13" t="s">
        <v>78</v>
      </c>
      <c r="K13">
        <v>1</v>
      </c>
      <c r="L13">
        <v>45</v>
      </c>
      <c r="M13">
        <f>Tableau621[[#This Row],[quantité]]*Tableau621[[#This Row],[prix HT U LIST]]</f>
        <v>45</v>
      </c>
    </row>
    <row r="14" spans="2:15" x14ac:dyDescent="0.25">
      <c r="B14" t="s">
        <v>89</v>
      </c>
      <c r="C14" s="1">
        <v>4</v>
      </c>
      <c r="D14" s="3">
        <v>5</v>
      </c>
      <c r="E14" s="3">
        <f>Tableau216[[#This Row],[quantité]]*Tableau216[[#This Row],[prix HT U LIST]]</f>
        <v>20</v>
      </c>
      <c r="M14">
        <f>Tableau621[[#This Row],[quantité]]*Tableau621[[#This Row],[prix HT U LIST]]</f>
        <v>0</v>
      </c>
    </row>
    <row r="15" spans="2:15" x14ac:dyDescent="0.25">
      <c r="M15">
        <f>Tableau621[[#This Row],[quantité]]*Tableau621[[#This Row],[prix HT U LIST]]</f>
        <v>0</v>
      </c>
    </row>
    <row r="16" spans="2:15" ht="18.75" x14ac:dyDescent="0.25">
      <c r="B16" s="73" t="s">
        <v>90</v>
      </c>
      <c r="C16" s="73"/>
      <c r="D16" s="73"/>
      <c r="E16" s="73"/>
      <c r="F16" s="73"/>
      <c r="G16" s="4">
        <f>SUM(Tableau2417[total HT list])*0.6</f>
        <v>359.4</v>
      </c>
      <c r="M16">
        <f>Tableau621[[#This Row],[quantité]]*Tableau621[[#This Row],[prix HT U LIST]]</f>
        <v>0</v>
      </c>
    </row>
    <row r="17" spans="2:15" x14ac:dyDescent="0.25">
      <c r="B17" t="s">
        <v>64</v>
      </c>
      <c r="C17" s="1" t="s">
        <v>65</v>
      </c>
      <c r="D17" s="2" t="s">
        <v>66</v>
      </c>
      <c r="E17" t="s">
        <v>67</v>
      </c>
      <c r="F17" t="s">
        <v>68</v>
      </c>
      <c r="M17">
        <f>Tableau621[[#This Row],[quantité]]*Tableau621[[#This Row],[prix HT U LIST]]</f>
        <v>0</v>
      </c>
    </row>
    <row r="18" spans="2:15" x14ac:dyDescent="0.25">
      <c r="B18" t="s">
        <v>166</v>
      </c>
      <c r="C18" s="1">
        <v>7</v>
      </c>
      <c r="D18" s="3">
        <v>30</v>
      </c>
      <c r="E18" s="3">
        <f>Tableau2417[[#This Row],[quantité]]*Tableau2417[[#This Row],[prix HT U LIST]]</f>
        <v>210</v>
      </c>
      <c r="M18">
        <f>Tableau621[[#This Row],[quantité]]*Tableau621[[#This Row],[prix HT U LIST]]</f>
        <v>0</v>
      </c>
    </row>
    <row r="19" spans="2:15" x14ac:dyDescent="0.25">
      <c r="B19" t="s">
        <v>99</v>
      </c>
      <c r="C19" s="1">
        <v>1</v>
      </c>
      <c r="D19" s="3">
        <v>300</v>
      </c>
      <c r="E19" s="3">
        <f>Tableau2417[[#This Row],[quantité]]*Tableau2417[[#This Row],[prix HT U LIST]]</f>
        <v>300</v>
      </c>
      <c r="M19">
        <f>Tableau621[[#This Row],[quantité]]*Tableau621[[#This Row],[prix HT U LIST]]</f>
        <v>0</v>
      </c>
    </row>
    <row r="20" spans="2:15" x14ac:dyDescent="0.25">
      <c r="B20" t="s">
        <v>100</v>
      </c>
      <c r="C20" s="1">
        <v>1</v>
      </c>
      <c r="D20" s="3">
        <v>15</v>
      </c>
      <c r="E20" s="3">
        <f>Tableau2417[[#This Row],[quantité]]*Tableau2417[[#This Row],[prix HT U LIST]]</f>
        <v>15</v>
      </c>
      <c r="M20">
        <f>Tableau621[[#This Row],[quantité]]*Tableau621[[#This Row],[prix HT U LIST]]</f>
        <v>0</v>
      </c>
    </row>
    <row r="21" spans="2:15" x14ac:dyDescent="0.25">
      <c r="B21" t="s">
        <v>101</v>
      </c>
      <c r="C21" s="1">
        <v>8</v>
      </c>
      <c r="D21" s="3">
        <v>1</v>
      </c>
      <c r="E21" s="3">
        <f>Tableau2417[[#This Row],[quantité]]*Tableau2417[[#This Row],[prix HT U LIST]]</f>
        <v>8</v>
      </c>
      <c r="M21">
        <f>Tableau621[[#This Row],[quantité]]*Tableau621[[#This Row],[prix HT U LIST]]</f>
        <v>0</v>
      </c>
    </row>
    <row r="22" spans="2:15" x14ac:dyDescent="0.25">
      <c r="B22" t="s">
        <v>102</v>
      </c>
      <c r="C22" s="1">
        <v>8</v>
      </c>
      <c r="D22" s="3">
        <v>2</v>
      </c>
      <c r="E22" s="3">
        <f>Tableau2417[[#This Row],[quantité]]*Tableau2417[[#This Row],[prix HT U LIST]]</f>
        <v>16</v>
      </c>
      <c r="M22">
        <f>Tableau621[[#This Row],[quantité]]*Tableau621[[#This Row],[prix HT U LIST]]</f>
        <v>0</v>
      </c>
    </row>
    <row r="23" spans="2:15" x14ac:dyDescent="0.25">
      <c r="B23" t="s">
        <v>103</v>
      </c>
      <c r="C23" s="1">
        <v>8</v>
      </c>
      <c r="D23" s="3">
        <v>3</v>
      </c>
      <c r="E23" s="3">
        <f>Tableau2417[[#This Row],[quantité]]*Tableau2417[[#This Row],[prix HT U LIST]]</f>
        <v>24</v>
      </c>
      <c r="M23">
        <f>Tableau621[[#This Row],[quantité]]*Tableau621[[#This Row],[prix HT U LIST]]</f>
        <v>0</v>
      </c>
    </row>
    <row r="24" spans="2:15" x14ac:dyDescent="0.25">
      <c r="B24" t="s">
        <v>104</v>
      </c>
      <c r="C24" s="1">
        <v>4</v>
      </c>
      <c r="D24" s="3">
        <v>4</v>
      </c>
      <c r="E24" s="3">
        <f>Tableau2417[[#This Row],[quantité]]*Tableau2417[[#This Row],[prix HT U LIST]]</f>
        <v>16</v>
      </c>
      <c r="M24">
        <f>Tableau621[[#This Row],[quantité]]*Tableau621[[#This Row],[prix HT U LIST]]</f>
        <v>0</v>
      </c>
    </row>
    <row r="25" spans="2:15" x14ac:dyDescent="0.25">
      <c r="B25" t="s">
        <v>105</v>
      </c>
      <c r="C25" s="1">
        <v>1</v>
      </c>
      <c r="D25" s="3">
        <v>10</v>
      </c>
      <c r="E25" s="3">
        <f>Tableau2417[[#This Row],[quantité]]*Tableau2417[[#This Row],[prix HT U LIST]]</f>
        <v>10</v>
      </c>
    </row>
    <row r="26" spans="2:15" x14ac:dyDescent="0.25">
      <c r="C26" s="1"/>
      <c r="D26" s="3"/>
      <c r="E26" s="3"/>
    </row>
    <row r="27" spans="2:15" ht="18.75" x14ac:dyDescent="0.25">
      <c r="C27" s="1"/>
      <c r="D27" s="3"/>
      <c r="E27" s="3"/>
      <c r="J27" s="74" t="s">
        <v>91</v>
      </c>
      <c r="K27" s="74"/>
      <c r="L27" s="74"/>
      <c r="M27" s="74"/>
      <c r="N27" s="74"/>
    </row>
    <row r="28" spans="2:15" ht="18.75" x14ac:dyDescent="0.25">
      <c r="B28" s="73" t="s">
        <v>107</v>
      </c>
      <c r="C28" s="73"/>
      <c r="D28" s="73"/>
      <c r="E28" s="73"/>
      <c r="F28" s="73"/>
      <c r="J28" s="34" t="s">
        <v>64</v>
      </c>
      <c r="K28" s="35" t="s">
        <v>65</v>
      </c>
      <c r="L28" s="36" t="s">
        <v>66</v>
      </c>
      <c r="M28" s="37" t="s">
        <v>67</v>
      </c>
      <c r="N28" s="38" t="s">
        <v>68</v>
      </c>
    </row>
    <row r="29" spans="2:15" x14ac:dyDescent="0.25">
      <c r="B29" t="s">
        <v>64</v>
      </c>
      <c r="C29" s="1" t="s">
        <v>65</v>
      </c>
      <c r="D29" s="2" t="s">
        <v>66</v>
      </c>
      <c r="E29" t="s">
        <v>67</v>
      </c>
      <c r="F29" t="s">
        <v>68</v>
      </c>
      <c r="J29" t="s">
        <v>93</v>
      </c>
      <c r="K29">
        <v>2</v>
      </c>
      <c r="L29">
        <v>30</v>
      </c>
      <c r="M29">
        <f>Tableau722[[#This Row],[quantité]]*Tableau722[[#This Row],[prix HT U LIST]]</f>
        <v>60</v>
      </c>
      <c r="O29">
        <f>SUM(Tableau722[total HT list])</f>
        <v>1330</v>
      </c>
    </row>
    <row r="30" spans="2:15" x14ac:dyDescent="0.25">
      <c r="C30" s="1"/>
      <c r="E30" s="3"/>
      <c r="J30" t="s">
        <v>95</v>
      </c>
      <c r="K30">
        <v>1</v>
      </c>
      <c r="L30">
        <v>100</v>
      </c>
      <c r="M30">
        <f>Tableau722[[#This Row],[quantité]]*Tableau722[[#This Row],[prix HT U LIST]]</f>
        <v>100</v>
      </c>
    </row>
    <row r="31" spans="2:15" x14ac:dyDescent="0.25">
      <c r="C31" s="1"/>
      <c r="D31" s="3"/>
      <c r="E31" s="3"/>
      <c r="J31" t="s">
        <v>96</v>
      </c>
      <c r="K31">
        <v>1</v>
      </c>
      <c r="L31">
        <v>65</v>
      </c>
      <c r="M31">
        <f>Tableau722[[#This Row],[quantité]]*Tableau722[[#This Row],[prix HT U LIST]]</f>
        <v>65</v>
      </c>
    </row>
    <row r="32" spans="2:15" x14ac:dyDescent="0.25">
      <c r="J32" t="s">
        <v>97</v>
      </c>
      <c r="K32">
        <v>6</v>
      </c>
      <c r="L32">
        <v>45</v>
      </c>
      <c r="M32">
        <f>Tableau722[[#This Row],[quantité]]*Tableau722[[#This Row],[prix HT U LIST]]</f>
        <v>270</v>
      </c>
    </row>
    <row r="33" spans="2:15" ht="18.75" x14ac:dyDescent="0.25">
      <c r="B33" s="73" t="s">
        <v>113</v>
      </c>
      <c r="C33" s="73"/>
      <c r="D33" s="73"/>
      <c r="E33" s="73"/>
      <c r="F33" s="73"/>
      <c r="J33" t="s">
        <v>98</v>
      </c>
      <c r="K33">
        <v>1</v>
      </c>
      <c r="L33">
        <v>25</v>
      </c>
      <c r="M33">
        <f>Tableau722[[#This Row],[quantité]]*Tableau722[[#This Row],[prix HT U LIST]]</f>
        <v>25</v>
      </c>
    </row>
    <row r="34" spans="2:15" x14ac:dyDescent="0.25">
      <c r="B34" t="s">
        <v>64</v>
      </c>
      <c r="C34" s="1" t="s">
        <v>65</v>
      </c>
      <c r="D34" s="2" t="s">
        <v>66</v>
      </c>
      <c r="E34" t="s">
        <v>67</v>
      </c>
      <c r="F34" t="s">
        <v>68</v>
      </c>
      <c r="J34" t="s">
        <v>143</v>
      </c>
      <c r="K34">
        <v>9</v>
      </c>
      <c r="L34">
        <v>90</v>
      </c>
      <c r="M34">
        <f>Tableau722[[#This Row],[quantité]]*Tableau722[[#This Row],[prix HT U LIST]]</f>
        <v>810</v>
      </c>
    </row>
    <row r="35" spans="2:15" x14ac:dyDescent="0.25">
      <c r="B35" t="s">
        <v>114</v>
      </c>
      <c r="C35" s="1">
        <v>7</v>
      </c>
      <c r="D35" s="3">
        <v>30</v>
      </c>
      <c r="E35" s="5">
        <f>Tableau24518[[#This Row],[quantité]]*Tableau24518[[#This Row],[prix HT U LIST]]</f>
        <v>210</v>
      </c>
    </row>
    <row r="36" spans="2:15" ht="18.75" x14ac:dyDescent="0.25">
      <c r="B36" t="s">
        <v>115</v>
      </c>
      <c r="C36" s="1">
        <v>2</v>
      </c>
      <c r="D36" s="16">
        <v>25</v>
      </c>
      <c r="E36" s="17">
        <f>Tableau24518[[#This Row],[quantité]]*Tableau24518[[#This Row],[prix HT U LIST]]</f>
        <v>50</v>
      </c>
      <c r="F36" s="18"/>
      <c r="G36" s="4">
        <f>SUM(Tableau120[total HT list])*0.6</f>
        <v>0</v>
      </c>
      <c r="J36" s="74" t="s">
        <v>148</v>
      </c>
      <c r="K36" s="74"/>
      <c r="L36" s="74"/>
      <c r="M36" s="74"/>
      <c r="N36" s="74"/>
    </row>
    <row r="37" spans="2:15" x14ac:dyDescent="0.25">
      <c r="B37" t="s">
        <v>116</v>
      </c>
      <c r="C37" s="1">
        <v>8</v>
      </c>
      <c r="D37" s="16">
        <v>4</v>
      </c>
      <c r="E37" s="17">
        <f>Tableau24518[[#This Row],[quantité]]*Tableau24518[[#This Row],[prix HT U LIST]]</f>
        <v>32</v>
      </c>
      <c r="F37" s="18"/>
      <c r="J37" s="34" t="s">
        <v>64</v>
      </c>
      <c r="K37" s="35" t="s">
        <v>65</v>
      </c>
      <c r="L37" s="36" t="s">
        <v>66</v>
      </c>
      <c r="M37" s="37" t="s">
        <v>67</v>
      </c>
      <c r="N37" s="38" t="s">
        <v>68</v>
      </c>
    </row>
    <row r="38" spans="2:15" x14ac:dyDescent="0.25">
      <c r="B38" t="s">
        <v>117</v>
      </c>
      <c r="C38" s="1">
        <v>2</v>
      </c>
      <c r="D38" s="16">
        <v>15</v>
      </c>
      <c r="E38" s="17">
        <f>Tableau24518[[#This Row],[quantité]]*Tableau24518[[#This Row],[prix HT U LIST]]</f>
        <v>30</v>
      </c>
      <c r="F38" s="18"/>
      <c r="J38" t="s">
        <v>149</v>
      </c>
      <c r="K38">
        <v>2</v>
      </c>
      <c r="L38">
        <v>250</v>
      </c>
      <c r="M38">
        <f>Tableau762937[[#This Row],[quantité]]*Tableau762937[[#This Row],[prix HT U LIST]]</f>
        <v>500</v>
      </c>
      <c r="O38">
        <f>SUM(Tableau762937[total HT list])</f>
        <v>1060</v>
      </c>
    </row>
    <row r="39" spans="2:15" x14ac:dyDescent="0.25">
      <c r="B39" t="s">
        <v>118</v>
      </c>
      <c r="C39" s="1">
        <v>2</v>
      </c>
      <c r="D39" s="16">
        <v>1</v>
      </c>
      <c r="E39" s="17">
        <f>Tableau24518[[#This Row],[quantité]]*Tableau24518[[#This Row],[prix HT U LIST]]</f>
        <v>2</v>
      </c>
      <c r="F39" s="18"/>
      <c r="J39" t="s">
        <v>150</v>
      </c>
      <c r="K39">
        <v>2</v>
      </c>
      <c r="L39">
        <v>280</v>
      </c>
      <c r="M39">
        <f>Tableau762937[[#This Row],[quantité]]*Tableau762937[[#This Row],[prix HT U LIST]]</f>
        <v>560</v>
      </c>
    </row>
    <row r="45" spans="2:15" x14ac:dyDescent="0.25">
      <c r="G45" s="4">
        <f>SUM(Tableau24518[total HT list])*0.6</f>
        <v>194.4</v>
      </c>
    </row>
  </sheetData>
  <mergeCells count="7">
    <mergeCell ref="B33:F33"/>
    <mergeCell ref="J36:N36"/>
    <mergeCell ref="B3:F3"/>
    <mergeCell ref="J3:N3"/>
    <mergeCell ref="B16:F16"/>
    <mergeCell ref="J27:N27"/>
    <mergeCell ref="B28:F28"/>
  </mergeCell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BF19E-B31E-4F4A-9140-970E3FF684C9}">
  <sheetPr>
    <tabColor rgb="FF0070C0"/>
  </sheetPr>
  <dimension ref="B1:O66"/>
  <sheetViews>
    <sheetView topLeftCell="A3" workbookViewId="0">
      <selection activeCell="F59" sqref="F59"/>
    </sheetView>
  </sheetViews>
  <sheetFormatPr baseColWidth="10" defaultColWidth="9.140625" defaultRowHeight="15" x14ac:dyDescent="0.25"/>
  <cols>
    <col min="2" max="2" width="36.42578125" customWidth="1"/>
    <col min="3" max="3" width="10.7109375" customWidth="1"/>
    <col min="4" max="4" width="16.42578125" style="2" customWidth="1"/>
    <col min="5" max="5" width="13.140625" customWidth="1"/>
    <col min="6" max="6" width="27.42578125" customWidth="1"/>
    <col min="7" max="7" width="15" bestFit="1" customWidth="1"/>
    <col min="10" max="10" width="32.85546875" bestFit="1" customWidth="1"/>
    <col min="11" max="11" width="10.7109375" customWidth="1"/>
    <col min="12" max="12" width="16.42578125" customWidth="1"/>
    <col min="13" max="13" width="13.140625" customWidth="1"/>
    <col min="14" max="14" width="29.28515625" customWidth="1"/>
  </cols>
  <sheetData>
    <row r="1" spans="2:15" x14ac:dyDescent="0.25">
      <c r="F1" s="6" t="s">
        <v>60</v>
      </c>
      <c r="G1" s="4">
        <f>(G2+O3++O29+O40)</f>
        <v>11885.911999999998</v>
      </c>
      <c r="H1" t="s">
        <v>144</v>
      </c>
    </row>
    <row r="2" spans="2:15" x14ac:dyDescent="0.25">
      <c r="F2" s="6" t="s">
        <v>61</v>
      </c>
      <c r="G2" s="4">
        <f>(G3+G18+G41+G32)*1.2*1.2</f>
        <v>7512.9119999999984</v>
      </c>
    </row>
    <row r="3" spans="2:15" ht="18.75" x14ac:dyDescent="0.25">
      <c r="B3" s="73" t="s">
        <v>62</v>
      </c>
      <c r="C3" s="73"/>
      <c r="D3" s="73"/>
      <c r="E3" s="73"/>
      <c r="F3" s="73"/>
      <c r="G3" s="4">
        <f>SUM(Tableau22330[total HT list])*0.6*1.5</f>
        <v>1234.8</v>
      </c>
      <c r="J3" s="74" t="s">
        <v>63</v>
      </c>
      <c r="K3" s="74"/>
      <c r="L3" s="74"/>
      <c r="M3" s="74"/>
      <c r="N3" s="74"/>
      <c r="O3">
        <f>SUM(Tableau62734[total HT list])</f>
        <v>953</v>
      </c>
    </row>
    <row r="4" spans="2:15" x14ac:dyDescent="0.25">
      <c r="B4" t="s">
        <v>64</v>
      </c>
      <c r="C4" s="1" t="s">
        <v>65</v>
      </c>
      <c r="D4" s="2" t="s">
        <v>66</v>
      </c>
      <c r="E4" t="s">
        <v>67</v>
      </c>
      <c r="F4" t="s">
        <v>68</v>
      </c>
      <c r="J4" s="34" t="s">
        <v>64</v>
      </c>
      <c r="K4" s="35" t="s">
        <v>65</v>
      </c>
      <c r="L4" s="36" t="s">
        <v>66</v>
      </c>
      <c r="M4" s="37" t="s">
        <v>67</v>
      </c>
      <c r="N4" s="38" t="s">
        <v>68</v>
      </c>
    </row>
    <row r="5" spans="2:15" x14ac:dyDescent="0.25">
      <c r="B5" t="s">
        <v>80</v>
      </c>
      <c r="C5" s="1">
        <v>5</v>
      </c>
      <c r="D5" s="3">
        <v>100</v>
      </c>
      <c r="E5" s="3">
        <f>Tableau22330[[#This Row],[quantité]]*Tableau22330[[#This Row],[prix HT U LIST]]</f>
        <v>500</v>
      </c>
      <c r="J5" t="s">
        <v>69</v>
      </c>
      <c r="K5">
        <v>1</v>
      </c>
      <c r="L5">
        <v>125</v>
      </c>
      <c r="M5">
        <f>Tableau62734[[#This Row],[quantité]]*Tableau62734[[#This Row],[prix HT U LIST]]</f>
        <v>125</v>
      </c>
    </row>
    <row r="6" spans="2:15" x14ac:dyDescent="0.25">
      <c r="B6" t="s">
        <v>81</v>
      </c>
      <c r="C6" s="1">
        <v>5</v>
      </c>
      <c r="D6" s="3">
        <v>50</v>
      </c>
      <c r="E6" s="3">
        <f>Tableau22330[[#This Row],[quantité]]*Tableau22330[[#This Row],[prix HT U LIST]]</f>
        <v>250</v>
      </c>
      <c r="J6" t="s">
        <v>70</v>
      </c>
      <c r="K6">
        <v>2</v>
      </c>
      <c r="L6">
        <v>50</v>
      </c>
      <c r="M6">
        <f>Tableau62734[[#This Row],[quantité]]*Tableau62734[[#This Row],[prix HT U LIST]]</f>
        <v>100</v>
      </c>
    </row>
    <row r="7" spans="2:15" x14ac:dyDescent="0.25">
      <c r="B7" t="s">
        <v>82</v>
      </c>
      <c r="C7" s="1">
        <v>5</v>
      </c>
      <c r="D7" s="3">
        <v>35</v>
      </c>
      <c r="E7" s="3">
        <f>Tableau22330[[#This Row],[quantité]]*Tableau22330[[#This Row],[prix HT U LIST]]</f>
        <v>175</v>
      </c>
      <c r="J7" t="s">
        <v>71</v>
      </c>
      <c r="K7">
        <v>1</v>
      </c>
      <c r="L7">
        <v>30</v>
      </c>
      <c r="M7">
        <f>Tableau62734[[#This Row],[quantité]]*Tableau62734[[#This Row],[prix HT U LIST]]</f>
        <v>30</v>
      </c>
    </row>
    <row r="8" spans="2:15" x14ac:dyDescent="0.25">
      <c r="B8" t="s">
        <v>83</v>
      </c>
      <c r="C8" s="1">
        <v>2</v>
      </c>
      <c r="D8" s="3">
        <v>15</v>
      </c>
      <c r="E8" s="3">
        <f>Tableau22330[[#This Row],[quantité]]*Tableau22330[[#This Row],[prix HT U LIST]]</f>
        <v>30</v>
      </c>
      <c r="J8" t="s">
        <v>72</v>
      </c>
      <c r="K8">
        <v>1</v>
      </c>
      <c r="L8">
        <v>100</v>
      </c>
      <c r="M8">
        <f>Tableau62734[[#This Row],[quantité]]*Tableau62734[[#This Row],[prix HT U LIST]]</f>
        <v>100</v>
      </c>
    </row>
    <row r="9" spans="2:15" x14ac:dyDescent="0.25">
      <c r="B9" t="s">
        <v>84</v>
      </c>
      <c r="C9" s="1">
        <v>2</v>
      </c>
      <c r="D9" s="3">
        <v>20</v>
      </c>
      <c r="E9" s="3">
        <f>Tableau22330[[#This Row],[quantité]]*Tableau22330[[#This Row],[prix HT U LIST]]</f>
        <v>40</v>
      </c>
      <c r="J9" t="s">
        <v>73</v>
      </c>
      <c r="K9">
        <v>1</v>
      </c>
      <c r="L9">
        <v>60</v>
      </c>
      <c r="M9">
        <f>Tableau62734[[#This Row],[quantité]]*Tableau62734[[#This Row],[prix HT U LIST]]</f>
        <v>60</v>
      </c>
    </row>
    <row r="10" spans="2:15" x14ac:dyDescent="0.25">
      <c r="B10" t="s">
        <v>85</v>
      </c>
      <c r="C10" s="1">
        <v>5</v>
      </c>
      <c r="D10" s="3">
        <v>45</v>
      </c>
      <c r="E10" s="3">
        <f>Tableau22330[[#This Row],[quantité]]*Tableau22330[[#This Row],[prix HT U LIST]]</f>
        <v>225</v>
      </c>
      <c r="J10" t="s">
        <v>74</v>
      </c>
      <c r="K10">
        <v>1</v>
      </c>
      <c r="L10">
        <v>30</v>
      </c>
      <c r="M10">
        <f>Tableau62734[[#This Row],[quantité]]*Tableau62734[[#This Row],[prix HT U LIST]]</f>
        <v>30</v>
      </c>
    </row>
    <row r="11" spans="2:15" x14ac:dyDescent="0.25">
      <c r="B11" t="s">
        <v>86</v>
      </c>
      <c r="C11" s="1">
        <v>2</v>
      </c>
      <c r="D11" s="3">
        <v>2</v>
      </c>
      <c r="E11" s="3">
        <f>Tableau22330[[#This Row],[quantité]]*Tableau22330[[#This Row],[prix HT U LIST]]</f>
        <v>4</v>
      </c>
      <c r="J11" t="s">
        <v>75</v>
      </c>
      <c r="K11">
        <v>18</v>
      </c>
      <c r="L11">
        <v>10</v>
      </c>
      <c r="M11">
        <f>Tableau62734[[#This Row],[quantité]]*Tableau62734[[#This Row],[prix HT U LIST]]</f>
        <v>180</v>
      </c>
    </row>
    <row r="12" spans="2:15" x14ac:dyDescent="0.25">
      <c r="B12" t="s">
        <v>87</v>
      </c>
      <c r="C12" s="1">
        <v>1</v>
      </c>
      <c r="D12" s="3">
        <v>40</v>
      </c>
      <c r="E12" s="3">
        <f>Tableau22330[[#This Row],[quantité]]*Tableau22330[[#This Row],[prix HT U LIST]]</f>
        <v>40</v>
      </c>
      <c r="J12" t="s">
        <v>76</v>
      </c>
      <c r="K12">
        <v>1</v>
      </c>
      <c r="L12">
        <v>30</v>
      </c>
      <c r="M12">
        <f>Tableau62734[[#This Row],[quantité]]*Tableau62734[[#This Row],[prix HT U LIST]]</f>
        <v>30</v>
      </c>
    </row>
    <row r="13" spans="2:15" x14ac:dyDescent="0.25">
      <c r="B13" t="s">
        <v>88</v>
      </c>
      <c r="C13" s="1">
        <v>4</v>
      </c>
      <c r="D13" s="3">
        <v>22</v>
      </c>
      <c r="E13" s="3">
        <f>Tableau22330[[#This Row],[quantité]]*Tableau22330[[#This Row],[prix HT U LIST]]</f>
        <v>88</v>
      </c>
      <c r="J13" t="s">
        <v>77</v>
      </c>
      <c r="K13">
        <v>1</v>
      </c>
      <c r="L13">
        <v>13</v>
      </c>
      <c r="M13">
        <f>Tableau62734[[#This Row],[quantité]]*Tableau62734[[#This Row],[prix HT U LIST]]</f>
        <v>13</v>
      </c>
    </row>
    <row r="14" spans="2:15" x14ac:dyDescent="0.25">
      <c r="B14" t="s">
        <v>89</v>
      </c>
      <c r="C14" s="1">
        <v>4</v>
      </c>
      <c r="D14" s="3">
        <v>5</v>
      </c>
      <c r="E14" s="3">
        <f>Tableau22330[[#This Row],[quantité]]*Tableau22330[[#This Row],[prix HT U LIST]]</f>
        <v>20</v>
      </c>
      <c r="J14" t="s">
        <v>78</v>
      </c>
      <c r="K14">
        <v>1</v>
      </c>
      <c r="L14">
        <v>45</v>
      </c>
      <c r="M14">
        <f>Tableau62734[[#This Row],[quantité]]*Tableau62734[[#This Row],[prix HT U LIST]]</f>
        <v>45</v>
      </c>
    </row>
    <row r="15" spans="2:15" x14ac:dyDescent="0.25">
      <c r="J15" t="s">
        <v>79</v>
      </c>
      <c r="K15">
        <v>8</v>
      </c>
      <c r="L15">
        <v>5</v>
      </c>
      <c r="M15">
        <f>Tableau62734[[#This Row],[quantité]]*Tableau62734[[#This Row],[prix HT U LIST]]</f>
        <v>40</v>
      </c>
    </row>
    <row r="16" spans="2:15" ht="18.75" x14ac:dyDescent="0.25">
      <c r="B16" s="73" t="s">
        <v>90</v>
      </c>
      <c r="C16" s="73"/>
      <c r="D16" s="73"/>
      <c r="E16" s="73"/>
      <c r="F16" s="73"/>
      <c r="J16" t="s">
        <v>145</v>
      </c>
      <c r="K16">
        <v>1</v>
      </c>
      <c r="L16">
        <v>150</v>
      </c>
      <c r="M16">
        <f>Tableau62734[[#This Row],[quantité]]*Tableau62734[[#This Row],[prix HT U LIST]]</f>
        <v>150</v>
      </c>
    </row>
    <row r="17" spans="2:15" x14ac:dyDescent="0.25">
      <c r="B17" t="s">
        <v>64</v>
      </c>
      <c r="C17" s="1" t="s">
        <v>65</v>
      </c>
      <c r="D17" s="2" t="s">
        <v>66</v>
      </c>
      <c r="E17" t="s">
        <v>67</v>
      </c>
      <c r="F17" t="s">
        <v>68</v>
      </c>
      <c r="J17" t="s">
        <v>146</v>
      </c>
      <c r="K17">
        <v>1</v>
      </c>
      <c r="L17">
        <v>50</v>
      </c>
      <c r="M17">
        <f>Tableau62734[[#This Row],[quantité]]*Tableau62734[[#This Row],[prix HT U LIST]]</f>
        <v>50</v>
      </c>
    </row>
    <row r="18" spans="2:15" x14ac:dyDescent="0.25">
      <c r="B18" t="s">
        <v>92</v>
      </c>
      <c r="C18" s="1">
        <v>4</v>
      </c>
      <c r="D18" s="3">
        <v>40</v>
      </c>
      <c r="E18" s="3">
        <f>Tableau242431[[#This Row],[quantité]]*Tableau242431[[#This Row],[prix HT U LIST]]</f>
        <v>160</v>
      </c>
      <c r="G18" s="4">
        <f>SUM(Tableau242431[total HT list])*0.6*1.5</f>
        <v>863.09999999999991</v>
      </c>
      <c r="M18">
        <f>Tableau62734[[#This Row],[quantité]]*Tableau62734[[#This Row],[prix HT U LIST]]</f>
        <v>0</v>
      </c>
    </row>
    <row r="19" spans="2:15" x14ac:dyDescent="0.25">
      <c r="B19" t="s">
        <v>94</v>
      </c>
      <c r="C19" s="1">
        <v>2</v>
      </c>
      <c r="D19" s="3">
        <v>30</v>
      </c>
      <c r="E19" s="3">
        <f>Tableau242431[[#This Row],[quantité]]*Tableau242431[[#This Row],[prix HT U LIST]]</f>
        <v>60</v>
      </c>
      <c r="M19">
        <f>Tableau62734[[#This Row],[quantité]]*Tableau62734[[#This Row],[prix HT U LIST]]</f>
        <v>0</v>
      </c>
    </row>
    <row r="20" spans="2:15" x14ac:dyDescent="0.25">
      <c r="B20" t="s">
        <v>142</v>
      </c>
      <c r="C20" s="1">
        <v>7</v>
      </c>
      <c r="D20" s="3">
        <v>30</v>
      </c>
      <c r="E20" s="3">
        <f>Tableau242431[[#This Row],[quantité]]*Tableau242431[[#This Row],[prix HT U LIST]]</f>
        <v>210</v>
      </c>
      <c r="M20">
        <f>Tableau62734[[#This Row],[quantité]]*Tableau62734[[#This Row],[prix HT U LIST]]</f>
        <v>0</v>
      </c>
    </row>
    <row r="21" spans="2:15" x14ac:dyDescent="0.25">
      <c r="B21" t="s">
        <v>195</v>
      </c>
      <c r="C21" s="1">
        <v>1</v>
      </c>
      <c r="D21" s="3">
        <v>300</v>
      </c>
      <c r="E21" s="3">
        <f>Tableau242431[[#This Row],[quantité]]*Tableau242431[[#This Row],[prix HT U LIST]]</f>
        <v>300</v>
      </c>
      <c r="M21">
        <f>Tableau62734[[#This Row],[quantité]]*Tableau62734[[#This Row],[prix HT U LIST]]</f>
        <v>0</v>
      </c>
    </row>
    <row r="22" spans="2:15" x14ac:dyDescent="0.25">
      <c r="B22" t="s">
        <v>100</v>
      </c>
      <c r="C22" s="1">
        <v>1</v>
      </c>
      <c r="D22" s="3">
        <v>15</v>
      </c>
      <c r="E22" s="3">
        <f>Tableau242431[[#This Row],[quantité]]*Tableau242431[[#This Row],[prix HT U LIST]]</f>
        <v>15</v>
      </c>
      <c r="M22">
        <f>Tableau62734[[#This Row],[quantité]]*Tableau62734[[#This Row],[prix HT U LIST]]</f>
        <v>0</v>
      </c>
    </row>
    <row r="23" spans="2:15" x14ac:dyDescent="0.25">
      <c r="B23" t="s">
        <v>101</v>
      </c>
      <c r="C23" s="1">
        <v>8</v>
      </c>
      <c r="D23" s="3">
        <v>1</v>
      </c>
      <c r="E23" s="3">
        <f>Tableau242431[[#This Row],[quantité]]*Tableau242431[[#This Row],[prix HT U LIST]]</f>
        <v>8</v>
      </c>
      <c r="M23">
        <f>Tableau62734[[#This Row],[quantité]]*Tableau62734[[#This Row],[prix HT U LIST]]</f>
        <v>0</v>
      </c>
    </row>
    <row r="24" spans="2:15" x14ac:dyDescent="0.25">
      <c r="B24" t="s">
        <v>102</v>
      </c>
      <c r="C24" s="1">
        <v>8</v>
      </c>
      <c r="D24" s="3">
        <v>2</v>
      </c>
      <c r="E24" s="3">
        <f>Tableau242431[[#This Row],[quantité]]*Tableau242431[[#This Row],[prix HT U LIST]]</f>
        <v>16</v>
      </c>
      <c r="M24">
        <f>Tableau62734[[#This Row],[quantité]]*Tableau62734[[#This Row],[prix HT U LIST]]</f>
        <v>0</v>
      </c>
    </row>
    <row r="25" spans="2:15" x14ac:dyDescent="0.25">
      <c r="B25" t="s">
        <v>103</v>
      </c>
      <c r="C25" s="1">
        <v>8</v>
      </c>
      <c r="D25" s="3">
        <v>3</v>
      </c>
      <c r="E25" s="3">
        <f>Tableau242431[[#This Row],[quantité]]*Tableau242431[[#This Row],[prix HT U LIST]]</f>
        <v>24</v>
      </c>
      <c r="M25">
        <f>Tableau62734[[#This Row],[quantité]]*Tableau62734[[#This Row],[prix HT U LIST]]</f>
        <v>0</v>
      </c>
    </row>
    <row r="26" spans="2:15" x14ac:dyDescent="0.25">
      <c r="B26" t="s">
        <v>104</v>
      </c>
      <c r="C26" s="1">
        <v>4</v>
      </c>
      <c r="D26" s="3">
        <v>4</v>
      </c>
      <c r="E26" s="3">
        <f>Tableau242431[[#This Row],[quantité]]*Tableau242431[[#This Row],[prix HT U LIST]]</f>
        <v>16</v>
      </c>
      <c r="M26">
        <f>Tableau62734[[#This Row],[quantité]]*Tableau62734[[#This Row],[prix HT U LIST]]</f>
        <v>0</v>
      </c>
    </row>
    <row r="27" spans="2:15" x14ac:dyDescent="0.25">
      <c r="B27" t="s">
        <v>105</v>
      </c>
      <c r="C27" s="1">
        <v>1</v>
      </c>
      <c r="D27" s="3">
        <v>10</v>
      </c>
      <c r="E27" s="3">
        <f>Tableau242431[[#This Row],[quantité]]*Tableau242431[[#This Row],[prix HT U LIST]]</f>
        <v>10</v>
      </c>
    </row>
    <row r="28" spans="2:15" x14ac:dyDescent="0.25">
      <c r="B28" t="s">
        <v>106</v>
      </c>
      <c r="C28" s="1">
        <v>2</v>
      </c>
      <c r="D28" s="3">
        <v>70</v>
      </c>
      <c r="E28" s="3">
        <f>Tableau242431[[#This Row],[quantité]]*Tableau242431[[#This Row],[prix HT U LIST]]</f>
        <v>140</v>
      </c>
    </row>
    <row r="29" spans="2:15" ht="18.75" x14ac:dyDescent="0.25">
      <c r="C29" s="1"/>
      <c r="D29" s="3"/>
      <c r="E29" s="3"/>
      <c r="J29" s="74" t="s">
        <v>91</v>
      </c>
      <c r="K29" s="74"/>
      <c r="L29" s="74"/>
      <c r="M29" s="74"/>
      <c r="N29" s="74"/>
      <c r="O29">
        <f>SUM(Tableau72835[total HT list])</f>
        <v>1330</v>
      </c>
    </row>
    <row r="30" spans="2:15" ht="18.75" x14ac:dyDescent="0.25">
      <c r="B30" s="73" t="s">
        <v>107</v>
      </c>
      <c r="C30" s="73"/>
      <c r="D30" s="73"/>
      <c r="E30" s="73"/>
      <c r="F30" s="73"/>
      <c r="J30" s="34" t="s">
        <v>64</v>
      </c>
      <c r="K30" s="35" t="s">
        <v>65</v>
      </c>
      <c r="L30" s="36" t="s">
        <v>66</v>
      </c>
      <c r="M30" s="37" t="s">
        <v>67</v>
      </c>
      <c r="N30" s="38" t="s">
        <v>68</v>
      </c>
    </row>
    <row r="31" spans="2:15" x14ac:dyDescent="0.25">
      <c r="B31" t="s">
        <v>64</v>
      </c>
      <c r="C31" s="1" t="s">
        <v>65</v>
      </c>
      <c r="D31" s="2" t="s">
        <v>66</v>
      </c>
      <c r="E31" t="s">
        <v>67</v>
      </c>
      <c r="F31" t="s">
        <v>68</v>
      </c>
      <c r="J31" t="s">
        <v>93</v>
      </c>
      <c r="K31">
        <v>2</v>
      </c>
      <c r="L31">
        <v>30</v>
      </c>
      <c r="M31">
        <f>Tableau72835[[#This Row],[quantité]]*Tableau72835[[#This Row],[prix HT U LIST]]</f>
        <v>60</v>
      </c>
    </row>
    <row r="32" spans="2:15" x14ac:dyDescent="0.25">
      <c r="C32" s="1"/>
      <c r="E32" s="3"/>
      <c r="G32" s="4">
        <f>SUM(Tableau12633[total HT list])*0.6*1.5</f>
        <v>0</v>
      </c>
      <c r="J32" t="s">
        <v>95</v>
      </c>
      <c r="K32">
        <v>1</v>
      </c>
      <c r="L32">
        <v>100</v>
      </c>
      <c r="M32">
        <f>Tableau72835[[#This Row],[quantité]]*Tableau72835[[#This Row],[prix HT U LIST]]</f>
        <v>100</v>
      </c>
    </row>
    <row r="33" spans="2:15" x14ac:dyDescent="0.25">
      <c r="C33" s="1"/>
      <c r="E33" s="3"/>
      <c r="J33" t="s">
        <v>96</v>
      </c>
      <c r="K33">
        <v>1</v>
      </c>
      <c r="L33">
        <v>65</v>
      </c>
      <c r="M33">
        <f>Tableau72835[[#This Row],[quantité]]*Tableau72835[[#This Row],[prix HT U LIST]]</f>
        <v>65</v>
      </c>
    </row>
    <row r="34" spans="2:15" x14ac:dyDescent="0.25">
      <c r="C34" s="1"/>
      <c r="E34" s="3"/>
      <c r="J34" t="s">
        <v>97</v>
      </c>
      <c r="K34">
        <v>6</v>
      </c>
      <c r="L34">
        <v>45</v>
      </c>
      <c r="M34">
        <f>Tableau72835[[#This Row],[quantité]]*Tableau72835[[#This Row],[prix HT U LIST]]</f>
        <v>270</v>
      </c>
    </row>
    <row r="35" spans="2:15" x14ac:dyDescent="0.25">
      <c r="C35" s="1"/>
      <c r="E35" s="3"/>
      <c r="J35" t="s">
        <v>98</v>
      </c>
      <c r="K35">
        <v>1</v>
      </c>
      <c r="L35">
        <v>25</v>
      </c>
      <c r="M35">
        <f>Tableau72835[[#This Row],[quantité]]*Tableau72835[[#This Row],[prix HT U LIST]]</f>
        <v>25</v>
      </c>
    </row>
    <row r="36" spans="2:15" x14ac:dyDescent="0.25">
      <c r="C36" s="1"/>
      <c r="E36" s="3"/>
      <c r="J36" t="s">
        <v>143</v>
      </c>
      <c r="K36">
        <v>9</v>
      </c>
      <c r="L36">
        <v>90</v>
      </c>
      <c r="M36">
        <f>Tableau72835[[#This Row],[quantité]]*Tableau72835[[#This Row],[prix HT U LIST]]</f>
        <v>810</v>
      </c>
    </row>
    <row r="37" spans="2:15" x14ac:dyDescent="0.25">
      <c r="C37" s="1"/>
      <c r="D37" s="3"/>
      <c r="E37" s="3"/>
    </row>
    <row r="39" spans="2:15" ht="18.75" x14ac:dyDescent="0.25">
      <c r="B39" s="73" t="s">
        <v>113</v>
      </c>
      <c r="C39" s="73"/>
      <c r="D39" s="73"/>
      <c r="E39" s="73"/>
      <c r="F39" s="73"/>
    </row>
    <row r="40" spans="2:15" ht="18.75" x14ac:dyDescent="0.25">
      <c r="B40" t="s">
        <v>64</v>
      </c>
      <c r="C40" s="1" t="s">
        <v>65</v>
      </c>
      <c r="D40" s="2" t="s">
        <v>66</v>
      </c>
      <c r="E40" t="s">
        <v>67</v>
      </c>
      <c r="F40" t="s">
        <v>68</v>
      </c>
      <c r="J40" s="74" t="s">
        <v>148</v>
      </c>
      <c r="K40" s="74"/>
      <c r="L40" s="74"/>
      <c r="M40" s="74"/>
      <c r="N40" s="74"/>
      <c r="O40">
        <f>SUM(Tableau762936[total HT list])</f>
        <v>2090</v>
      </c>
    </row>
    <row r="41" spans="2:15" x14ac:dyDescent="0.25">
      <c r="B41" t="s">
        <v>114</v>
      </c>
      <c r="C41" s="1">
        <v>15</v>
      </c>
      <c r="D41" s="3">
        <v>30</v>
      </c>
      <c r="E41" s="17">
        <f>Tableau2452532[[#This Row],[quantité]]*Tableau2452532[[#This Row],[prix HT U LIST]]</f>
        <v>450</v>
      </c>
      <c r="G41" s="4">
        <f>SUM(Tableau2452532[total HT list])*0.6*1.5</f>
        <v>3119.3999999999996</v>
      </c>
      <c r="J41" s="34" t="s">
        <v>64</v>
      </c>
      <c r="K41" s="35" t="s">
        <v>65</v>
      </c>
      <c r="L41" s="36" t="s">
        <v>66</v>
      </c>
      <c r="M41" s="37" t="s">
        <v>67</v>
      </c>
      <c r="N41" s="38" t="s">
        <v>68</v>
      </c>
    </row>
    <row r="42" spans="2:15" x14ac:dyDescent="0.25">
      <c r="B42" t="s">
        <v>115</v>
      </c>
      <c r="C42" s="1">
        <v>2</v>
      </c>
      <c r="D42" s="16">
        <v>25</v>
      </c>
      <c r="E42" s="17">
        <f>Tableau2452532[[#This Row],[quantité]]*Tableau2452532[[#This Row],[prix HT U LIST]]</f>
        <v>50</v>
      </c>
      <c r="F42" s="18" t="s">
        <v>119</v>
      </c>
      <c r="J42" t="s">
        <v>149</v>
      </c>
      <c r="K42">
        <v>5</v>
      </c>
      <c r="L42">
        <v>250</v>
      </c>
      <c r="M42">
        <f>Tableau762936[[#This Row],[quantité]]*Tableau762936[[#This Row],[prix HT U LIST]]</f>
        <v>1250</v>
      </c>
    </row>
    <row r="43" spans="2:15" x14ac:dyDescent="0.25">
      <c r="B43" t="s">
        <v>116</v>
      </c>
      <c r="C43" s="1">
        <v>8</v>
      </c>
      <c r="D43" s="16">
        <v>4</v>
      </c>
      <c r="E43" s="17">
        <f>Tableau2452532[[#This Row],[quantité]]*Tableau2452532[[#This Row],[prix HT U LIST]]</f>
        <v>32</v>
      </c>
      <c r="F43" s="18" t="s">
        <v>119</v>
      </c>
      <c r="J43" t="s">
        <v>150</v>
      </c>
      <c r="K43">
        <v>3</v>
      </c>
      <c r="L43">
        <v>280</v>
      </c>
      <c r="M43">
        <f>Tableau762936[[#This Row],[quantité]]*Tableau762936[[#This Row],[prix HT U LIST]]</f>
        <v>840</v>
      </c>
    </row>
    <row r="44" spans="2:15" x14ac:dyDescent="0.25">
      <c r="B44" t="s">
        <v>115</v>
      </c>
      <c r="C44" s="1">
        <v>20</v>
      </c>
      <c r="D44" s="16">
        <v>25</v>
      </c>
      <c r="E44" s="17">
        <f>Tableau2452532[[#This Row],[quantité]]*Tableau2452532[[#This Row],[prix HT U LIST]]</f>
        <v>500</v>
      </c>
      <c r="F44" s="18" t="s">
        <v>120</v>
      </c>
    </row>
    <row r="45" spans="2:15" x14ac:dyDescent="0.25">
      <c r="B45" t="s">
        <v>121</v>
      </c>
      <c r="C45" s="1">
        <v>80</v>
      </c>
      <c r="D45" s="16">
        <v>1</v>
      </c>
      <c r="E45" s="17">
        <f>Tableau2452532[[#This Row],[quantité]]*Tableau2452532[[#This Row],[prix HT U LIST]]</f>
        <v>80</v>
      </c>
      <c r="F45" s="18" t="s">
        <v>120</v>
      </c>
    </row>
    <row r="46" spans="2:15" x14ac:dyDescent="0.25">
      <c r="B46" t="s">
        <v>122</v>
      </c>
      <c r="C46" s="1">
        <v>1</v>
      </c>
      <c r="D46" s="16">
        <v>50</v>
      </c>
      <c r="E46" s="17">
        <f>Tableau2452532[[#This Row],[quantité]]*Tableau2452532[[#This Row],[prix HT U LIST]]</f>
        <v>50</v>
      </c>
      <c r="F46" s="18"/>
    </row>
    <row r="47" spans="2:15" x14ac:dyDescent="0.25">
      <c r="B47" t="s">
        <v>117</v>
      </c>
      <c r="C47" s="1">
        <v>2</v>
      </c>
      <c r="D47" s="16">
        <v>15</v>
      </c>
      <c r="E47" s="17">
        <f>Tableau2452532[[#This Row],[quantité]]*Tableau2452532[[#This Row],[prix HT U LIST]]</f>
        <v>30</v>
      </c>
      <c r="F47" s="18" t="s">
        <v>119</v>
      </c>
    </row>
    <row r="48" spans="2:15" x14ac:dyDescent="0.25">
      <c r="B48" t="s">
        <v>118</v>
      </c>
      <c r="C48" s="1">
        <v>40</v>
      </c>
      <c r="D48" s="16">
        <v>1</v>
      </c>
      <c r="E48" s="17">
        <f>Tableau2452532[[#This Row],[quantité]]*Tableau2452532[[#This Row],[prix HT U LIST]]</f>
        <v>40</v>
      </c>
      <c r="F48" s="18"/>
    </row>
    <row r="49" spans="2:6" x14ac:dyDescent="0.25">
      <c r="B49" t="s">
        <v>123</v>
      </c>
      <c r="C49" s="1">
        <v>15</v>
      </c>
      <c r="D49" s="16">
        <v>15</v>
      </c>
      <c r="E49" s="17">
        <f>Tableau2452532[[#This Row],[quantité]]*Tableau2452532[[#This Row],[prix HT U LIST]]</f>
        <v>225</v>
      </c>
      <c r="F49" s="18"/>
    </row>
    <row r="50" spans="2:6" x14ac:dyDescent="0.25">
      <c r="B50" t="s">
        <v>124</v>
      </c>
      <c r="C50" s="1">
        <v>3</v>
      </c>
      <c r="D50" s="16">
        <v>10</v>
      </c>
      <c r="E50" s="17">
        <f>Tableau2452532[[#This Row],[quantité]]*Tableau2452532[[#This Row],[prix HT U LIST]]</f>
        <v>30</v>
      </c>
      <c r="F50" s="18"/>
    </row>
    <row r="51" spans="2:6" x14ac:dyDescent="0.25">
      <c r="B51" t="s">
        <v>125</v>
      </c>
      <c r="C51" s="1">
        <v>4</v>
      </c>
      <c r="D51" s="16">
        <v>15</v>
      </c>
      <c r="E51" s="17">
        <f>Tableau2452532[[#This Row],[quantité]]*Tableau2452532[[#This Row],[prix HT U LIST]]</f>
        <v>60</v>
      </c>
      <c r="F51" s="18"/>
    </row>
    <row r="52" spans="2:6" x14ac:dyDescent="0.25">
      <c r="B52" t="s">
        <v>126</v>
      </c>
      <c r="C52" s="1">
        <v>17</v>
      </c>
      <c r="D52" s="16">
        <v>20</v>
      </c>
      <c r="E52" s="17">
        <f>Tableau2452532[[#This Row],[quantité]]*Tableau2452532[[#This Row],[prix HT U LIST]]</f>
        <v>340</v>
      </c>
      <c r="F52" s="18"/>
    </row>
    <row r="53" spans="2:6" x14ac:dyDescent="0.25">
      <c r="B53" t="s">
        <v>127</v>
      </c>
      <c r="C53" s="1">
        <v>6</v>
      </c>
      <c r="D53" s="16">
        <v>18</v>
      </c>
      <c r="E53" s="17">
        <f>Tableau2452532[[#This Row],[quantité]]*Tableau2452532[[#This Row],[prix HT U LIST]]</f>
        <v>108</v>
      </c>
      <c r="F53" s="18"/>
    </row>
    <row r="54" spans="2:6" x14ac:dyDescent="0.25">
      <c r="B54" t="s">
        <v>128</v>
      </c>
      <c r="C54" s="1">
        <v>2</v>
      </c>
      <c r="D54" s="16">
        <v>15</v>
      </c>
      <c r="E54" s="17">
        <f>Tableau2452532[[#This Row],[quantité]]*Tableau2452532[[#This Row],[prix HT U LIST]]</f>
        <v>30</v>
      </c>
      <c r="F54" s="18"/>
    </row>
    <row r="55" spans="2:6" x14ac:dyDescent="0.25">
      <c r="B55" t="s">
        <v>129</v>
      </c>
      <c r="C55" s="1">
        <v>4</v>
      </c>
      <c r="D55" s="16">
        <v>65</v>
      </c>
      <c r="E55" s="17">
        <f>Tableau2452532[[#This Row],[quantité]]*Tableau2452532[[#This Row],[prix HT U LIST]]</f>
        <v>260</v>
      </c>
      <c r="F55" s="18"/>
    </row>
    <row r="56" spans="2:6" x14ac:dyDescent="0.25">
      <c r="B56" t="s">
        <v>130</v>
      </c>
      <c r="C56" s="1">
        <v>2</v>
      </c>
      <c r="D56" s="16">
        <v>55</v>
      </c>
      <c r="E56" s="17">
        <f>Tableau2452532[[#This Row],[quantité]]*Tableau2452532[[#This Row],[prix HT U LIST]]</f>
        <v>110</v>
      </c>
      <c r="F56" s="18"/>
    </row>
    <row r="57" spans="2:6" x14ac:dyDescent="0.25">
      <c r="B57" t="s">
        <v>131</v>
      </c>
      <c r="C57" s="1">
        <v>1</v>
      </c>
      <c r="D57" s="16">
        <v>45</v>
      </c>
      <c r="E57" s="17">
        <f>Tableau2452532[[#This Row],[quantité]]*Tableau2452532[[#This Row],[prix HT U LIST]]</f>
        <v>45</v>
      </c>
      <c r="F57" s="18"/>
    </row>
    <row r="58" spans="2:6" x14ac:dyDescent="0.25">
      <c r="B58" t="s">
        <v>132</v>
      </c>
      <c r="C58" s="1">
        <v>1</v>
      </c>
      <c r="D58" s="16">
        <v>20</v>
      </c>
      <c r="E58" s="17">
        <f>Tableau2452532[[#This Row],[quantité]]*Tableau2452532[[#This Row],[prix HT U LIST]]</f>
        <v>20</v>
      </c>
      <c r="F58" s="18"/>
    </row>
    <row r="59" spans="2:6" x14ac:dyDescent="0.25">
      <c r="B59" t="s">
        <v>133</v>
      </c>
      <c r="C59" s="1">
        <v>1</v>
      </c>
      <c r="D59" s="16">
        <v>20</v>
      </c>
      <c r="E59" s="17">
        <f>Tableau2452532[[#This Row],[quantité]]*Tableau2452532[[#This Row],[prix HT U LIST]]</f>
        <v>20</v>
      </c>
      <c r="F59" s="18"/>
    </row>
    <row r="60" spans="2:6" x14ac:dyDescent="0.25">
      <c r="B60" t="s">
        <v>134</v>
      </c>
      <c r="C60" s="1">
        <v>4</v>
      </c>
      <c r="D60" s="16">
        <v>12</v>
      </c>
      <c r="E60" s="17">
        <f>Tableau2452532[[#This Row],[quantité]]*Tableau2452532[[#This Row],[prix HT U LIST]]</f>
        <v>48</v>
      </c>
      <c r="F60" s="18"/>
    </row>
    <row r="61" spans="2:6" x14ac:dyDescent="0.25">
      <c r="B61" t="s">
        <v>135</v>
      </c>
      <c r="C61" s="1">
        <v>6</v>
      </c>
      <c r="D61" s="16">
        <v>25</v>
      </c>
      <c r="E61" s="17">
        <f>Tableau2452532[[#This Row],[quantité]]*Tableau2452532[[#This Row],[prix HT U LIST]]</f>
        <v>150</v>
      </c>
      <c r="F61" s="18"/>
    </row>
    <row r="62" spans="2:6" x14ac:dyDescent="0.25">
      <c r="B62" t="s">
        <v>136</v>
      </c>
      <c r="C62" s="1">
        <v>12</v>
      </c>
      <c r="D62" s="16">
        <v>2</v>
      </c>
      <c r="E62" s="17">
        <f>Tableau2452532[[#This Row],[quantité]]*Tableau2452532[[#This Row],[prix HT U LIST]]</f>
        <v>24</v>
      </c>
      <c r="F62" s="18"/>
    </row>
    <row r="63" spans="2:6" x14ac:dyDescent="0.25">
      <c r="B63" t="s">
        <v>137</v>
      </c>
      <c r="C63" s="1">
        <v>24</v>
      </c>
      <c r="D63" s="16">
        <v>1</v>
      </c>
      <c r="E63" s="17">
        <f>Tableau2452532[[#This Row],[quantité]]*Tableau2452532[[#This Row],[prix HT U LIST]]</f>
        <v>24</v>
      </c>
      <c r="F63" s="18"/>
    </row>
    <row r="64" spans="2:6" x14ac:dyDescent="0.25">
      <c r="B64" t="s">
        <v>139</v>
      </c>
      <c r="C64" s="1">
        <v>1</v>
      </c>
      <c r="D64" s="16">
        <v>200</v>
      </c>
      <c r="E64" s="17">
        <f>Tableau2452532[[#This Row],[quantité]]*Tableau2452532[[#This Row],[prix HT U LIST]]</f>
        <v>200</v>
      </c>
      <c r="F64" s="18"/>
    </row>
    <row r="65" spans="2:6" x14ac:dyDescent="0.25">
      <c r="B65" t="s">
        <v>140</v>
      </c>
      <c r="C65" s="1">
        <v>2</v>
      </c>
      <c r="D65" s="16">
        <v>70</v>
      </c>
      <c r="E65" s="17">
        <f>Tableau2452532[[#This Row],[quantité]]*Tableau2452532[[#This Row],[prix HT U LIST]]</f>
        <v>140</v>
      </c>
      <c r="F65" s="18"/>
    </row>
    <row r="66" spans="2:6" x14ac:dyDescent="0.25">
      <c r="B66" t="s">
        <v>138</v>
      </c>
      <c r="C66" s="1">
        <v>4</v>
      </c>
      <c r="D66" s="16">
        <v>100</v>
      </c>
      <c r="E66" s="17">
        <f>Tableau2452532[[#This Row],[quantité]]*Tableau2452532[[#This Row],[prix HT U LIST]]</f>
        <v>400</v>
      </c>
      <c r="F66" s="18"/>
    </row>
  </sheetData>
  <mergeCells count="7">
    <mergeCell ref="J40:N40"/>
    <mergeCell ref="B39:F39"/>
    <mergeCell ref="B3:F3"/>
    <mergeCell ref="J3:N3"/>
    <mergeCell ref="B16:F16"/>
    <mergeCell ref="J29:N29"/>
    <mergeCell ref="B30:F30"/>
  </mergeCell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262343B818945A028F667C1EDBD6E" ma:contentTypeVersion="13" ma:contentTypeDescription="Crée un document." ma:contentTypeScope="" ma:versionID="3f894cc0e50b32aea4c1a167e7b6b2d5">
  <xsd:schema xmlns:xsd="http://www.w3.org/2001/XMLSchema" xmlns:xs="http://www.w3.org/2001/XMLSchema" xmlns:p="http://schemas.microsoft.com/office/2006/metadata/properties" xmlns:ns2="d78602c4-37ba-4860-a8ad-40639689d5e0" xmlns:ns3="a21fa2c1-ad60-4358-bf66-7fed61a6da48" targetNamespace="http://schemas.microsoft.com/office/2006/metadata/properties" ma:root="true" ma:fieldsID="2365018df5a1f76200562d79b71f8627" ns2:_="" ns3:_="">
    <xsd:import namespace="d78602c4-37ba-4860-a8ad-40639689d5e0"/>
    <xsd:import namespace="a21fa2c1-ad60-4358-bf66-7fed61a6da4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602c4-37ba-4860-a8ad-40639689d5e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3ee60cab-f868-450f-b135-d5165170d0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1fa2c1-ad60-4358-bf66-7fed61a6da4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1ac627c-ee30-4108-9923-99a2299966b6}" ma:internalName="TaxCatchAll" ma:showField="CatchAllData" ma:web="a21fa2c1-ad60-4358-bf66-7fed61a6d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8602c4-37ba-4860-a8ad-40639689d5e0">
      <Terms xmlns="http://schemas.microsoft.com/office/infopath/2007/PartnerControls"/>
    </lcf76f155ced4ddcb4097134ff3c332f>
    <TaxCatchAll xmlns="a21fa2c1-ad60-4358-bf66-7fed61a6da4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686AB-B883-48D4-9360-11BA2095D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602c4-37ba-4860-a8ad-40639689d5e0"/>
    <ds:schemaRef ds:uri="a21fa2c1-ad60-4358-bf66-7fed61a6d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F0D8AD-D362-4D4D-8408-DD1521D88305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a21fa2c1-ad60-4358-bf66-7fed61a6da48"/>
    <ds:schemaRef ds:uri="http://purl.org/dc/dcmitype/"/>
    <ds:schemaRef ds:uri="http://schemas.openxmlformats.org/package/2006/metadata/core-properties"/>
    <ds:schemaRef ds:uri="d78602c4-37ba-4860-a8ad-40639689d5e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FAA7A9-CAC7-4C4F-877B-49AF6B7A0C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Planning général</vt:lpstr>
      <vt:lpstr>Déroulé</vt:lpstr>
      <vt:lpstr>CHIFFRAGE GLOBAL</vt:lpstr>
      <vt:lpstr>CHIFFRAGE MAICHE WE1</vt:lpstr>
      <vt:lpstr>CHIFFRAGE MAICHE WE2</vt:lpstr>
      <vt:lpstr>CHIFFRAGE MORTEAU</vt:lpstr>
      <vt:lpstr>CHIFFRAGE RUSSEY WE4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 Vauthier</dc:creator>
  <cp:keywords/>
  <dc:description/>
  <cp:lastModifiedBy>Morgan Vauthier | Sévania</cp:lastModifiedBy>
  <cp:revision/>
  <cp:lastPrinted>2024-12-22T11:38:37Z</cp:lastPrinted>
  <dcterms:created xsi:type="dcterms:W3CDTF">2015-06-05T18:19:34Z</dcterms:created>
  <dcterms:modified xsi:type="dcterms:W3CDTF">2025-02-23T17:53:30Z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0x01010012B262343B818945A028F667C1EDBD6E</vt:lpwstr>
  </property>
  <property fmtid="{D5CDD505-2E9C-101B-9397-08002B2CF9AE}" pid="3" name="MediaServiceImageTags">
    <vt:lpwstr/>
  </property>
</Properties>
</file>